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Contrôle P3-1" sheetId="1" r:id="rId1"/>
    <sheet name="Corrigé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<sst xmlns="http://schemas.openxmlformats.org/spreadsheetml/2006/main" count="525" uniqueCount="129">
  <si>
    <t>SALON</t>
  </si>
  <si>
    <t>Salle de bain</t>
  </si>
  <si>
    <t>CUISINE</t>
  </si>
  <si>
    <t>WC</t>
  </si>
  <si>
    <t>CHAMBRE</t>
  </si>
  <si>
    <t>GARAGE</t>
  </si>
  <si>
    <t>ENTREE</t>
  </si>
  <si>
    <t>1er  O B A V M S    O u v r a g e s   d u   B â t i m e n t   A l u m i n i u m,   V e r r e   &amp;   M a t é r i a u x   d e   S y n t h è s e</t>
  </si>
  <si>
    <t>C O N T R O L E</t>
  </si>
  <si>
    <t>P R E P A R A T I O N   d u   C O N T R O L E</t>
  </si>
  <si>
    <t>D E V O I R S</t>
  </si>
  <si>
    <t>2nd  O B A V M S    O u v r a g e s   d u   B â t i m e n t   A l u m i n i u m,   V e r r e   &amp;   M a t é r i a u x   d e   S y n t h è s e</t>
  </si>
  <si>
    <t>Ter  O B A V M S    O u v r a g e s   d u   B â t i m e n t   A l u m i n i u m,   V e r r e   &amp;   M a t é r i a u x   d e   S y n t h è s e</t>
  </si>
  <si>
    <t>CAP   C O B A L U    C o n s t r u c t e u r   d’ O u v r a g e s   d u   B â t i m e n t   A l u m i n i u m,   V e r r e   &amp;   M a t é r i a u x   d e   S y n t h è s e</t>
  </si>
  <si>
    <t>………/5</t>
  </si>
  <si>
    <t>………/20</t>
  </si>
  <si>
    <t>E N O N C E   1 :</t>
  </si>
  <si>
    <t>Remplir le tableau d'inventaire "métré" des menuiseries extérieures du bâtiment ci-dessous :</t>
  </si>
  <si>
    <t>ì</t>
  </si>
  <si>
    <t>è</t>
  </si>
  <si>
    <t>N</t>
  </si>
  <si>
    <t>ORIENTATION</t>
  </si>
  <si>
    <t>LOCALISATION</t>
  </si>
  <si>
    <t>Isolé</t>
  </si>
  <si>
    <t>QTE</t>
  </si>
  <si>
    <t>LNB</t>
  </si>
  <si>
    <t>HNB</t>
  </si>
  <si>
    <t>L</t>
  </si>
  <si>
    <t>H</t>
  </si>
  <si>
    <t>mm</t>
  </si>
  <si>
    <t>EVAL</t>
  </si>
  <si>
    <t>D</t>
  </si>
  <si>
    <t>à</t>
  </si>
  <si>
    <t>TYPE DE POSE :</t>
  </si>
  <si>
    <t>Murs isolé :</t>
  </si>
  <si>
    <t>Pose en applique avec tapées d'isolation</t>
  </si>
  <si>
    <t>Murs non isolé :</t>
  </si>
  <si>
    <t>POSE EN TABLEAU</t>
  </si>
  <si>
    <t>METRE Menuis EXT</t>
  </si>
  <si>
    <t>TYPES D'OUVERTURE</t>
  </si>
  <si>
    <t>PORTE SECTIONNELLE</t>
  </si>
  <si>
    <t>F</t>
  </si>
  <si>
    <t>OB 1v à gauche</t>
  </si>
  <si>
    <t>Si pose sur dormant-précadre X=32mm</t>
  </si>
  <si>
    <t>VS</t>
  </si>
  <si>
    <t xml:space="preserve"> </t>
  </si>
  <si>
    <t>FORMULES voir fiche 46-C</t>
  </si>
  <si>
    <t>Fiche 46-C</t>
  </si>
  <si>
    <t>Vue intérieure + Sens + VS</t>
  </si>
  <si>
    <t>A PROJECTION</t>
  </si>
  <si>
    <t>FIXE</t>
  </si>
  <si>
    <t>……</t>
  </si>
  <si>
    <t>BUANDERIE</t>
  </si>
  <si>
    <t>E</t>
  </si>
  <si>
    <t>NE</t>
  </si>
  <si>
    <t>O</t>
  </si>
  <si>
    <t>SO</t>
  </si>
  <si>
    <t>NO</t>
  </si>
  <si>
    <t>SE</t>
  </si>
  <si>
    <t>S</t>
  </si>
  <si>
    <t>CELLIER</t>
  </si>
  <si>
    <t>SALLE DE BAIN</t>
  </si>
  <si>
    <t>SALLE DE BAIN - WC</t>
  </si>
  <si>
    <t>GRENIER</t>
  </si>
  <si>
    <t>O = OUI</t>
  </si>
  <si>
    <t>N = NON</t>
  </si>
  <si>
    <t>OVF 2V VS à GAUCHE</t>
  </si>
  <si>
    <t>OVF 2V VS à DROITE</t>
  </si>
  <si>
    <t>OB 1V à DROITE</t>
  </si>
  <si>
    <t>OB 1V à GAUCHE</t>
  </si>
  <si>
    <t>OB 2V VS à GAUCHE</t>
  </si>
  <si>
    <t>OB 2V VS à DROITE</t>
  </si>
  <si>
    <t>FIXE + ALLEGE</t>
  </si>
  <si>
    <t>FIXE + IMPOSTE</t>
  </si>
  <si>
    <t>COULISSANT 2v VS à GAUCHE</t>
  </si>
  <si>
    <t>COULISSANT 2v VS à DROITE</t>
  </si>
  <si>
    <t>PORTE OVF 1v à GAUCHE</t>
  </si>
  <si>
    <t>PORTE OVF 1v à DROITE</t>
  </si>
  <si>
    <t>A L'ITALIENNE</t>
  </si>
  <si>
    <t>PORTE COULISSANTE</t>
  </si>
  <si>
    <t>BASCULANTE</t>
  </si>
  <si>
    <t>PIVOTANTE</t>
  </si>
  <si>
    <t>BAIE COULISSANTE</t>
  </si>
  <si>
    <t>OVF 1V à GAUCHE</t>
  </si>
  <si>
    <t>OVF 1V à DROITE</t>
  </si>
  <si>
    <t>REMPLIR LE TABLEAU</t>
  </si>
  <si>
    <t>CORRECTION</t>
  </si>
  <si>
    <t xml:space="preserve"> /20</t>
  </si>
  <si>
    <t>???</t>
  </si>
  <si>
    <t>P3/1</t>
  </si>
  <si>
    <t>OUI</t>
  </si>
  <si>
    <t>NON</t>
  </si>
  <si>
    <t>Réponse :</t>
  </si>
  <si>
    <t>1er  M A V     M e n u i s e r i e    A l u m i n i u m   V e r r e</t>
  </si>
  <si>
    <t>Ter   M A V     M e n u i s e r i e    A l u m i n i u m   V e r r e</t>
  </si>
  <si>
    <t>CAP   M A V     M e n u i s e r i e    A l u m i n i u m   V e r r e</t>
  </si>
  <si>
    <t>2nd  M A V     M e n u i s e r i e    A l u m i n i u m   V e r r e</t>
  </si>
  <si>
    <t>Résultats arrondi au 10e</t>
  </si>
  <si>
    <r>
      <rPr>
        <sz val="20"/>
        <rFont val="Wingdings"/>
        <family val="0"/>
      </rPr>
      <t>¿</t>
    </r>
    <r>
      <rPr>
        <sz val="5"/>
        <rFont val="Wingdings"/>
        <family val="0"/>
      </rPr>
      <t xml:space="preserve"> </t>
    </r>
    <r>
      <rPr>
        <sz val="20"/>
        <rFont val="Tahoma"/>
        <family val="2"/>
      </rPr>
      <t>55mn</t>
    </r>
  </si>
  <si>
    <t>Contrôle sur 94pts, note ramenée sur 20</t>
  </si>
  <si>
    <t>Nom ???</t>
  </si>
  <si>
    <t>Date ???</t>
  </si>
  <si>
    <t>Zone de données</t>
  </si>
  <si>
    <t>QCM &amp; calculs basiques</t>
  </si>
  <si>
    <t>2pts par bonne réponse</t>
  </si>
  <si>
    <t>L'alumine</t>
  </si>
  <si>
    <t>La bauxite</t>
  </si>
  <si>
    <t>La baux de Provence</t>
  </si>
  <si>
    <t xml:space="preserve">1) </t>
  </si>
  <si>
    <t xml:space="preserve">Comment s'appelle le minerai qui contien l'aluminium ? </t>
  </si>
  <si>
    <t>2)</t>
  </si>
  <si>
    <t xml:space="preserve">En quelle année fut découvert l'aluminium ? </t>
  </si>
  <si>
    <t>3)</t>
  </si>
  <si>
    <t>4)</t>
  </si>
  <si>
    <t>Calculer le périmètre et la surface intérieure de la chambre :</t>
  </si>
  <si>
    <t>Périmètre :</t>
  </si>
  <si>
    <t>cm</t>
  </si>
  <si>
    <t>Surface :</t>
  </si>
  <si>
    <t>m² (arr. 10e)</t>
  </si>
  <si>
    <t>5)</t>
  </si>
  <si>
    <t>Augmenter la cote verte du plan de 18% :</t>
  </si>
  <si>
    <t>Valeur augmentée :</t>
  </si>
  <si>
    <t>Arr. 10e</t>
  </si>
  <si>
    <t>6)</t>
  </si>
  <si>
    <r>
      <t>Ecrire 5,69.10</t>
    </r>
    <r>
      <rPr>
        <vertAlign val="superscript"/>
        <sz val="11"/>
        <rFont val="Tahoma"/>
        <family val="2"/>
      </rPr>
      <t>-3</t>
    </r>
    <r>
      <rPr>
        <sz val="11"/>
        <rFont val="Tahoma"/>
        <family val="2"/>
      </rPr>
      <t xml:space="preserve"> en écriture classique :</t>
    </r>
  </si>
  <si>
    <t>Arr. 1000e</t>
  </si>
  <si>
    <r>
      <t>La molecule d'alumine s'ecrit Al</t>
    </r>
    <r>
      <rPr>
        <vertAlign val="subscript"/>
        <sz val="11"/>
        <rFont val="Tahoma"/>
        <family val="2"/>
      </rPr>
      <t>2</t>
    </r>
    <r>
      <rPr>
        <sz val="11"/>
        <rFont val="Tahoma"/>
        <family val="2"/>
      </rPr>
      <t>O</t>
    </r>
    <r>
      <rPr>
        <vertAlign val="subscript"/>
        <sz val="11"/>
        <rFont val="Tahoma"/>
        <family val="2"/>
      </rPr>
      <t>3</t>
    </r>
  </si>
  <si>
    <t>Cotes en cm</t>
  </si>
  <si>
    <t>1 pt par bonne réponse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</si>
</sst>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12"/>
      <name val="Tahoma"/>
      <family val="2"/>
    </font>
    <font>
      <sz val="8"/>
      <name val="Calibri"/>
      <family val="2"/>
    </font>
    <font>
      <i/>
      <sz val="16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2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48"/>
      <name val="Wingdings"/>
      <family val="0"/>
    </font>
    <font>
      <sz val="16"/>
      <name val="Tahoma"/>
      <family val="2"/>
    </font>
    <font>
      <i/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Wingdings"/>
      <family val="0"/>
    </font>
    <font>
      <sz val="12"/>
      <color indexed="8"/>
      <name val="Tahoma"/>
      <family val="2"/>
    </font>
    <font>
      <sz val="10"/>
      <color indexed="8"/>
      <name val="Tahoma"/>
      <family val="2"/>
    </font>
    <font>
      <i/>
      <sz val="11"/>
      <name val="Tahoma"/>
      <family val="2"/>
    </font>
    <font>
      <sz val="9"/>
      <color indexed="8"/>
      <name val="Tahoma"/>
      <family val="2"/>
    </font>
    <font>
      <i/>
      <sz val="10"/>
      <name val="Tahoma"/>
      <family val="2"/>
    </font>
    <font>
      <b/>
      <sz val="10"/>
      <color indexed="12"/>
      <name val="Tahoma"/>
      <family val="2"/>
    </font>
    <font>
      <sz val="11"/>
      <color indexed="9"/>
      <name val="Wingdings"/>
      <family val="0"/>
    </font>
    <font>
      <sz val="8"/>
      <color indexed="9"/>
      <name val="Tahoma"/>
      <family val="2"/>
    </font>
    <font>
      <sz val="11"/>
      <color indexed="9"/>
      <name val="Tahoma"/>
      <family val="2"/>
    </font>
    <font>
      <sz val="11"/>
      <color indexed="12"/>
      <name val="Tahoma"/>
      <family val="2"/>
    </font>
    <font>
      <b/>
      <sz val="14"/>
      <name val="Tahoma"/>
      <family val="2"/>
    </font>
    <font>
      <b/>
      <sz val="11"/>
      <color indexed="44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ahoma"/>
      <family val="2"/>
    </font>
    <font>
      <sz val="14"/>
      <name val="Tahoma"/>
      <family val="2"/>
    </font>
    <font>
      <sz val="24"/>
      <color indexed="8"/>
      <name val="Tahoma"/>
      <family val="2"/>
    </font>
    <font>
      <b/>
      <sz val="28"/>
      <name val="Tahoma"/>
      <family val="2"/>
    </font>
    <font>
      <sz val="14"/>
      <color indexed="8"/>
      <name val="Tahoma"/>
      <family val="2"/>
    </font>
    <font>
      <sz val="36"/>
      <name val="Tahoma"/>
      <family val="2"/>
    </font>
    <font>
      <b/>
      <sz val="16"/>
      <name val="Tahoma"/>
      <family val="2"/>
    </font>
    <font>
      <vertAlign val="subscript"/>
      <sz val="11"/>
      <name val="Tahoma"/>
      <family val="2"/>
    </font>
    <font>
      <sz val="11"/>
      <color indexed="10"/>
      <name val="Tahoma"/>
      <family val="2"/>
    </font>
    <font>
      <i/>
      <sz val="14"/>
      <color indexed="10"/>
      <name val="Tahoma"/>
      <family val="2"/>
    </font>
    <font>
      <sz val="20"/>
      <name val="Wingdings"/>
      <family val="0"/>
    </font>
    <font>
      <sz val="5"/>
      <name val="Wingdings"/>
      <family val="0"/>
    </font>
    <font>
      <sz val="20"/>
      <name val="Tahoma"/>
      <family val="2"/>
    </font>
    <font>
      <vertAlign val="superscript"/>
      <sz val="11"/>
      <name val="Tahoma"/>
      <family val="2"/>
    </font>
    <font>
      <sz val="14"/>
      <color indexed="1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Tahoma"/>
      <family val="2"/>
    </font>
    <font>
      <sz val="11"/>
      <color indexed="17"/>
      <name val="Tahoma"/>
      <family val="2"/>
    </font>
    <font>
      <sz val="11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10"/>
      <name val="Tahoma"/>
      <family val="2"/>
    </font>
    <font>
      <sz val="10"/>
      <color indexed="10"/>
      <name val="Tahoma"/>
      <family val="2"/>
    </font>
    <font>
      <sz val="8"/>
      <color indexed="10"/>
      <name val="Tahoma"/>
      <family val="2"/>
    </font>
    <font>
      <b/>
      <sz val="14"/>
      <color indexed="12"/>
      <name val="Tahoma"/>
      <family val="2"/>
    </font>
    <font>
      <b/>
      <sz val="11"/>
      <color indexed="17"/>
      <name val="Tahoma"/>
      <family val="2"/>
    </font>
    <font>
      <sz val="10"/>
      <color indexed="17"/>
      <name val="Tahoma"/>
      <family val="2"/>
    </font>
    <font>
      <b/>
      <sz val="14"/>
      <color indexed="10"/>
      <name val="Tahoma"/>
      <family val="2"/>
    </font>
    <font>
      <sz val="14"/>
      <color indexed="12"/>
      <name val="Tahoma"/>
      <family val="2"/>
    </font>
    <font>
      <b/>
      <sz val="14"/>
      <color indexed="56"/>
      <name val="Tahoma"/>
      <family val="2"/>
    </font>
    <font>
      <sz val="12"/>
      <color indexed="10"/>
      <name val="Tahoma"/>
      <family val="2"/>
    </font>
    <font>
      <sz val="36"/>
      <color indexed="12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FFFF"/>
      <name val="Tahoma"/>
      <family val="2"/>
    </font>
    <font>
      <sz val="11"/>
      <color rgb="FFFF0000"/>
      <name val="Tahoma"/>
      <family val="2"/>
    </font>
    <font>
      <b/>
      <sz val="12"/>
      <color rgb="FF00B050"/>
      <name val="Tahoma"/>
      <family val="2"/>
    </font>
    <font>
      <sz val="11"/>
      <color rgb="FF00B050"/>
      <name val="Tahoma"/>
      <family val="2"/>
    </font>
    <font>
      <sz val="11"/>
      <color theme="3"/>
      <name val="Tahoma"/>
      <family val="2"/>
    </font>
    <font>
      <b/>
      <sz val="11"/>
      <color theme="3"/>
      <name val="Tahoma"/>
      <family val="2"/>
    </font>
    <font>
      <b/>
      <sz val="11"/>
      <color rgb="FFFF0000"/>
      <name val="Tahoma"/>
      <family val="2"/>
    </font>
    <font>
      <sz val="10"/>
      <color rgb="FFFF0000"/>
      <name val="Tahoma"/>
      <family val="2"/>
    </font>
    <font>
      <sz val="14"/>
      <color rgb="FFFF0000"/>
      <name val="Tahoma"/>
      <family val="2"/>
    </font>
    <font>
      <sz val="8"/>
      <color rgb="FFFF0000"/>
      <name val="Tahoma"/>
      <family val="2"/>
    </font>
    <font>
      <b/>
      <sz val="14"/>
      <color rgb="FF0000FF"/>
      <name val="Tahoma"/>
      <family val="2"/>
    </font>
    <font>
      <b/>
      <sz val="11"/>
      <color rgb="FF00B050"/>
      <name val="Tahoma"/>
      <family val="2"/>
    </font>
    <font>
      <sz val="10"/>
      <color rgb="FF00B050"/>
      <name val="Tahoma"/>
      <family val="2"/>
    </font>
    <font>
      <b/>
      <sz val="14"/>
      <color rgb="FFFF0000"/>
      <name val="Tahoma"/>
      <family val="2"/>
    </font>
    <font>
      <sz val="36"/>
      <color rgb="FF0000FF"/>
      <name val="Tahoma"/>
      <family val="2"/>
    </font>
    <font>
      <sz val="14"/>
      <color rgb="FF0000FF"/>
      <name val="Tahoma"/>
      <family val="2"/>
    </font>
    <font>
      <b/>
      <sz val="14"/>
      <color theme="3"/>
      <name val="Tahoma"/>
      <family val="2"/>
    </font>
    <font>
      <b/>
      <sz val="11"/>
      <color rgb="FF0000FF"/>
      <name val="Tahoma"/>
      <family val="2"/>
    </font>
    <font>
      <sz val="12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lightTrellis">
        <bgColor indexed="13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0" borderId="2" applyNumberFormat="0" applyFill="0" applyAlignment="0" applyProtection="0"/>
    <xf numFmtId="0" fontId="1" fillId="27" borderId="3" applyNumberFormat="0" applyFont="0" applyAlignment="0" applyProtection="0"/>
    <xf numFmtId="0" fontId="82" fillId="28" borderId="1" applyNumberFormat="0" applyAlignment="0" applyProtection="0"/>
    <xf numFmtId="0" fontId="8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4" fillId="30" borderId="0" applyNumberFormat="0" applyBorder="0" applyAlignment="0" applyProtection="0"/>
    <xf numFmtId="9" fontId="1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26" borderId="4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2" borderId="9" applyNumberFormat="0" applyAlignment="0" applyProtection="0"/>
  </cellStyleXfs>
  <cellXfs count="23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33" borderId="18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22" xfId="0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33" borderId="20" xfId="0" applyFont="1" applyFill="1" applyBorder="1" applyAlignment="1">
      <alignment vertical="center"/>
    </xf>
    <xf numFmtId="0" fontId="2" fillId="35" borderId="20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9" xfId="0" applyFont="1" applyBorder="1" applyAlignment="1">
      <alignment vertical="center" textRotation="90" shrinkToFit="1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34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right" vertical="center"/>
    </xf>
    <xf numFmtId="0" fontId="9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94" fillId="0" borderId="0" xfId="0" applyFont="1" applyAlignment="1">
      <alignment vertical="center" shrinkToFit="1"/>
    </xf>
    <xf numFmtId="0" fontId="94" fillId="0" borderId="0" xfId="0" applyFont="1" applyFill="1" applyBorder="1" applyAlignment="1">
      <alignment vertical="center" shrinkToFit="1"/>
    </xf>
    <xf numFmtId="0" fontId="2" fillId="0" borderId="0" xfId="0" applyFont="1" applyAlignment="1">
      <alignment/>
    </xf>
    <xf numFmtId="0" fontId="29" fillId="0" borderId="0" xfId="0" applyFont="1" applyAlignment="1" applyProtection="1">
      <alignment horizontal="left" vertical="center"/>
      <protection locked="0"/>
    </xf>
    <xf numFmtId="0" fontId="9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horizontal="left" vertical="center"/>
      <protection/>
    </xf>
    <xf numFmtId="0" fontId="95" fillId="0" borderId="0" xfId="0" applyFont="1" applyAlignment="1" applyProtection="1">
      <alignment vertical="center"/>
      <protection/>
    </xf>
    <xf numFmtId="0" fontId="95" fillId="0" borderId="0" xfId="0" applyFont="1" applyAlignment="1" applyProtection="1">
      <alignment horizontal="right" vertical="center"/>
      <protection/>
    </xf>
    <xf numFmtId="0" fontId="96" fillId="0" borderId="18" xfId="0" applyFont="1" applyBorder="1" applyAlignment="1">
      <alignment vertical="center"/>
    </xf>
    <xf numFmtId="0" fontId="97" fillId="0" borderId="0" xfId="0" applyFont="1" applyAlignment="1">
      <alignment vertical="center"/>
    </xf>
    <xf numFmtId="0" fontId="98" fillId="9" borderId="16" xfId="0" applyFont="1" applyFill="1" applyBorder="1" applyAlignment="1">
      <alignment vertical="center"/>
    </xf>
    <xf numFmtId="0" fontId="98" fillId="9" borderId="0" xfId="0" applyFont="1" applyFill="1" applyAlignment="1">
      <alignment vertical="center"/>
    </xf>
    <xf numFmtId="0" fontId="98" fillId="9" borderId="14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8" fillId="9" borderId="16" xfId="0" applyFont="1" applyFill="1" applyBorder="1" applyAlignment="1">
      <alignment vertical="center" shrinkToFit="1"/>
    </xf>
    <xf numFmtId="0" fontId="98" fillId="9" borderId="0" xfId="0" applyFont="1" applyFill="1" applyAlignment="1">
      <alignment vertical="center" shrinkToFit="1"/>
    </xf>
    <xf numFmtId="0" fontId="2" fillId="9" borderId="0" xfId="0" applyFont="1" applyFill="1" applyAlignment="1">
      <alignment vertical="center"/>
    </xf>
    <xf numFmtId="0" fontId="2" fillId="9" borderId="14" xfId="0" applyFont="1" applyFill="1" applyBorder="1" applyAlignment="1">
      <alignment vertical="center"/>
    </xf>
    <xf numFmtId="0" fontId="98" fillId="9" borderId="14" xfId="0" applyFont="1" applyFill="1" applyBorder="1" applyAlignment="1">
      <alignment horizontal="center" vertic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0" fontId="98" fillId="9" borderId="15" xfId="0" applyFont="1" applyFill="1" applyBorder="1" applyAlignment="1">
      <alignment vertical="center" shrinkToFit="1"/>
    </xf>
    <xf numFmtId="0" fontId="2" fillId="9" borderId="19" xfId="0" applyFont="1" applyFill="1" applyBorder="1" applyAlignment="1">
      <alignment vertical="center"/>
    </xf>
    <xf numFmtId="0" fontId="98" fillId="9" borderId="17" xfId="0" applyFont="1" applyFill="1" applyBorder="1" applyAlignment="1">
      <alignment horizontal="right" vertical="center"/>
    </xf>
    <xf numFmtId="0" fontId="102" fillId="0" borderId="3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100" fillId="0" borderId="30" xfId="0" applyFont="1" applyBorder="1" applyAlignment="1">
      <alignment horizontal="center" vertical="center" shrinkToFit="1"/>
    </xf>
    <xf numFmtId="0" fontId="95" fillId="0" borderId="0" xfId="0" applyFont="1" applyAlignment="1">
      <alignment horizontal="center" vertical="center"/>
    </xf>
    <xf numFmtId="0" fontId="103" fillId="0" borderId="0" xfId="0" applyFont="1" applyAlignment="1">
      <alignment horizontal="center" vertical="top"/>
    </xf>
    <xf numFmtId="0" fontId="104" fillId="36" borderId="30" xfId="0" applyFont="1" applyFill="1" applyBorder="1" applyAlignment="1" applyProtection="1">
      <alignment horizontal="center" vertical="center"/>
      <protection locked="0"/>
    </xf>
    <xf numFmtId="0" fontId="16" fillId="37" borderId="10" xfId="0" applyFont="1" applyFill="1" applyBorder="1" applyAlignment="1">
      <alignment vertical="center"/>
    </xf>
    <xf numFmtId="0" fontId="14" fillId="37" borderId="15" xfId="0" applyFont="1" applyFill="1" applyBorder="1" applyAlignment="1">
      <alignment vertical="top"/>
    </xf>
    <xf numFmtId="0" fontId="2" fillId="0" borderId="31" xfId="0" applyFont="1" applyBorder="1" applyAlignment="1">
      <alignment vertical="center"/>
    </xf>
    <xf numFmtId="0" fontId="105" fillId="0" borderId="19" xfId="0" applyFont="1" applyBorder="1" applyAlignment="1">
      <alignment vertical="center"/>
    </xf>
    <xf numFmtId="0" fontId="106" fillId="0" borderId="0" xfId="0" applyFont="1" applyBorder="1" applyAlignment="1" applyProtection="1">
      <alignment horizontal="left"/>
      <protection/>
    </xf>
    <xf numFmtId="164" fontId="107" fillId="0" borderId="22" xfId="0" applyNumberFormat="1" applyFont="1" applyFill="1" applyBorder="1" applyAlignment="1">
      <alignment horizontal="center" vertical="center" shrinkToFit="1"/>
    </xf>
    <xf numFmtId="0" fontId="95" fillId="0" borderId="0" xfId="0" applyFont="1" applyAlignment="1">
      <alignment horizontal="left" vertical="center"/>
    </xf>
    <xf numFmtId="0" fontId="100" fillId="0" borderId="0" xfId="0" applyFont="1" applyBorder="1" applyAlignment="1">
      <alignment horizontal="center" vertical="center" shrinkToFit="1"/>
    </xf>
    <xf numFmtId="0" fontId="103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104" fillId="36" borderId="30" xfId="0" applyFont="1" applyFill="1" applyBorder="1" applyAlignment="1" applyProtection="1">
      <alignment horizontal="center" vertical="center" shrinkToFit="1"/>
      <protection locked="0"/>
    </xf>
    <xf numFmtId="0" fontId="104" fillId="36" borderId="30" xfId="0" applyFont="1" applyFill="1" applyBorder="1" applyAlignment="1" applyProtection="1">
      <alignment horizontal="center" vertical="center"/>
      <protection locked="0"/>
    </xf>
    <xf numFmtId="0" fontId="104" fillId="36" borderId="22" xfId="0" applyFont="1" applyFill="1" applyBorder="1" applyAlignment="1" applyProtection="1">
      <alignment horizontal="center" vertical="center"/>
      <protection locked="0"/>
    </xf>
    <xf numFmtId="0" fontId="104" fillId="36" borderId="11" xfId="0" applyFont="1" applyFill="1" applyBorder="1" applyAlignment="1" applyProtection="1">
      <alignment horizontal="center" vertical="center"/>
      <protection locked="0"/>
    </xf>
    <xf numFmtId="0" fontId="16" fillId="37" borderId="10" xfId="0" applyFont="1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top"/>
    </xf>
    <xf numFmtId="0" fontId="14" fillId="37" borderId="19" xfId="0" applyFont="1" applyFill="1" applyBorder="1" applyAlignment="1">
      <alignment horizontal="center" vertical="top"/>
    </xf>
    <xf numFmtId="0" fontId="14" fillId="37" borderId="17" xfId="0" applyFont="1" applyFill="1" applyBorder="1" applyAlignment="1">
      <alignment horizontal="center" vertical="top"/>
    </xf>
    <xf numFmtId="0" fontId="16" fillId="37" borderId="18" xfId="0" applyFont="1" applyFill="1" applyBorder="1" applyAlignment="1">
      <alignment horizontal="center" vertical="center"/>
    </xf>
    <xf numFmtId="0" fontId="36" fillId="37" borderId="30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6" fillId="37" borderId="30" xfId="0" applyFont="1" applyFill="1" applyBorder="1" applyAlignment="1">
      <alignment horizontal="center" vertical="center"/>
    </xf>
    <xf numFmtId="0" fontId="16" fillId="37" borderId="22" xfId="0" applyFont="1" applyFill="1" applyBorder="1" applyAlignment="1">
      <alignment horizontal="center" vertical="center"/>
    </xf>
    <xf numFmtId="0" fontId="108" fillId="36" borderId="22" xfId="0" applyFont="1" applyFill="1" applyBorder="1" applyAlignment="1" applyProtection="1">
      <alignment horizontal="center" vertical="center" shrinkToFit="1"/>
      <protection locked="0"/>
    </xf>
    <xf numFmtId="0" fontId="108" fillId="36" borderId="11" xfId="0" applyFont="1" applyFill="1" applyBorder="1" applyAlignment="1" applyProtection="1">
      <alignment horizontal="center" vertical="center" shrinkToFit="1"/>
      <protection locked="0"/>
    </xf>
    <xf numFmtId="0" fontId="108" fillId="36" borderId="29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center" vertical="top" textRotation="90"/>
    </xf>
    <xf numFmtId="0" fontId="2" fillId="0" borderId="17" xfId="0" applyFont="1" applyBorder="1" applyAlignment="1">
      <alignment horizontal="center" vertical="top" textRotation="90"/>
    </xf>
    <xf numFmtId="0" fontId="2" fillId="0" borderId="12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textRotation="90" shrinkToFit="1"/>
    </xf>
    <xf numFmtId="0" fontId="2" fillId="0" borderId="14" xfId="0" applyFont="1" applyBorder="1" applyAlignment="1">
      <alignment horizontal="center" textRotation="90" shrinkToFit="1"/>
    </xf>
    <xf numFmtId="0" fontId="2" fillId="0" borderId="14" xfId="0" applyFont="1" applyBorder="1" applyAlignment="1">
      <alignment horizontal="center" vertical="top" textRotation="90" shrinkToFit="1"/>
    </xf>
    <xf numFmtId="0" fontId="2" fillId="0" borderId="17" xfId="0" applyFont="1" applyBorder="1" applyAlignment="1">
      <alignment horizontal="center" vertical="top" textRotation="90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shrinkToFit="1"/>
    </xf>
    <xf numFmtId="0" fontId="2" fillId="0" borderId="17" xfId="0" applyFont="1" applyBorder="1" applyAlignment="1">
      <alignment horizontal="center" vertical="center" textRotation="90" shrinkToFit="1"/>
    </xf>
    <xf numFmtId="0" fontId="20" fillId="0" borderId="0" xfId="0" applyFont="1" applyAlignment="1">
      <alignment horizontal="center" vertical="top" shrinkToFit="1"/>
    </xf>
    <xf numFmtId="0" fontId="33" fillId="0" borderId="0" xfId="0" applyFont="1" applyAlignment="1">
      <alignment horizontal="center" vertical="top" shrinkToFit="1"/>
    </xf>
    <xf numFmtId="0" fontId="37" fillId="37" borderId="22" xfId="0" applyFont="1" applyFill="1" applyBorder="1" applyAlignment="1">
      <alignment horizontal="center" vertical="center" shrinkToFit="1"/>
    </xf>
    <xf numFmtId="0" fontId="37" fillId="37" borderId="11" xfId="0" applyFont="1" applyFill="1" applyBorder="1" applyAlignment="1">
      <alignment horizontal="center" vertical="center" shrinkToFit="1"/>
    </xf>
    <xf numFmtId="0" fontId="37" fillId="37" borderId="29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2" fillId="0" borderId="14" xfId="0" applyFont="1" applyBorder="1" applyAlignment="1">
      <alignment horizontal="center" vertical="center" textRotation="90" shrinkToFit="1"/>
    </xf>
    <xf numFmtId="0" fontId="28" fillId="0" borderId="0" xfId="0" applyFont="1" applyAlignment="1">
      <alignment horizontal="center" vertical="center" wrapText="1"/>
    </xf>
    <xf numFmtId="0" fontId="19" fillId="0" borderId="32" xfId="0" applyFont="1" applyBorder="1" applyAlignment="1">
      <alignment horizontal="center" vertical="center" textRotation="90" shrinkToFit="1"/>
    </xf>
    <xf numFmtId="0" fontId="19" fillId="0" borderId="33" xfId="0" applyFont="1" applyBorder="1" applyAlignment="1">
      <alignment horizontal="center" vertical="center" textRotation="90" shrinkToFit="1"/>
    </xf>
    <xf numFmtId="0" fontId="19" fillId="0" borderId="34" xfId="0" applyFont="1" applyBorder="1" applyAlignment="1">
      <alignment horizontal="center" vertical="center" textRotation="90" shrinkToFi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37" borderId="11" xfId="0" applyFont="1" applyFill="1" applyBorder="1" applyAlignment="1">
      <alignment horizontal="center"/>
    </xf>
    <xf numFmtId="0" fontId="7" fillId="37" borderId="29" xfId="0" applyFont="1" applyFill="1" applyBorder="1" applyAlignment="1">
      <alignment horizontal="center"/>
    </xf>
    <xf numFmtId="0" fontId="2" fillId="0" borderId="14" xfId="0" applyFont="1" applyBorder="1" applyAlignment="1">
      <alignment horizontal="right" vertical="center" textRotation="90"/>
    </xf>
    <xf numFmtId="0" fontId="2" fillId="0" borderId="17" xfId="0" applyFont="1" applyBorder="1" applyAlignment="1">
      <alignment horizontal="right" vertical="center" textRotation="90"/>
    </xf>
    <xf numFmtId="14" fontId="109" fillId="36" borderId="22" xfId="0" applyNumberFormat="1" applyFont="1" applyFill="1" applyBorder="1" applyAlignment="1" applyProtection="1">
      <alignment horizontal="center" vertical="center" shrinkToFit="1"/>
      <protection locked="0"/>
    </xf>
    <xf numFmtId="14" fontId="109" fillId="36" borderId="11" xfId="0" applyNumberFormat="1" applyFont="1" applyFill="1" applyBorder="1" applyAlignment="1" applyProtection="1">
      <alignment horizontal="center" vertical="center" shrinkToFit="1"/>
      <protection locked="0"/>
    </xf>
    <xf numFmtId="14" fontId="109" fillId="36" borderId="29" xfId="0" applyNumberFormat="1" applyFont="1" applyFill="1" applyBorder="1" applyAlignment="1" applyProtection="1">
      <alignment horizontal="center" vertical="center" shrinkToFit="1"/>
      <protection locked="0"/>
    </xf>
    <xf numFmtId="0" fontId="110" fillId="9" borderId="10" xfId="0" applyFont="1" applyFill="1" applyBorder="1" applyAlignment="1">
      <alignment horizontal="center" vertical="center"/>
    </xf>
    <xf numFmtId="0" fontId="110" fillId="9" borderId="18" xfId="0" applyFont="1" applyFill="1" applyBorder="1" applyAlignment="1">
      <alignment horizontal="center" vertical="center"/>
    </xf>
    <xf numFmtId="0" fontId="110" fillId="9" borderId="12" xfId="0" applyFont="1" applyFill="1" applyBorder="1" applyAlignment="1">
      <alignment horizontal="center" vertical="center"/>
    </xf>
    <xf numFmtId="0" fontId="111" fillId="36" borderId="22" xfId="0" applyFont="1" applyFill="1" applyBorder="1" applyAlignment="1" applyProtection="1">
      <alignment horizontal="center" vertical="center" shrinkToFit="1"/>
      <protection locked="0"/>
    </xf>
    <xf numFmtId="0" fontId="111" fillId="36" borderId="11" xfId="0" applyFont="1" applyFill="1" applyBorder="1" applyAlignment="1" applyProtection="1">
      <alignment horizontal="center" vertical="center" shrinkToFit="1"/>
      <protection locked="0"/>
    </xf>
    <xf numFmtId="0" fontId="111" fillId="36" borderId="29" xfId="0" applyFont="1" applyFill="1" applyBorder="1" applyAlignment="1" applyProtection="1">
      <alignment horizontal="center" vertical="center" shrinkToFit="1"/>
      <protection locked="0"/>
    </xf>
    <xf numFmtId="0" fontId="111" fillId="36" borderId="10" xfId="0" applyFont="1" applyFill="1" applyBorder="1" applyAlignment="1" applyProtection="1">
      <alignment horizontal="center" vertical="center" shrinkToFit="1"/>
      <protection locked="0"/>
    </xf>
    <xf numFmtId="0" fontId="111" fillId="36" borderId="18" xfId="0" applyFont="1" applyFill="1" applyBorder="1" applyAlignment="1" applyProtection="1">
      <alignment horizontal="center" vertical="center" shrinkToFit="1"/>
      <protection locked="0"/>
    </xf>
    <xf numFmtId="0" fontId="111" fillId="36" borderId="12" xfId="0" applyFont="1" applyFill="1" applyBorder="1" applyAlignment="1" applyProtection="1">
      <alignment horizontal="center" vertical="center" shrinkToFit="1"/>
      <protection locked="0"/>
    </xf>
    <xf numFmtId="0" fontId="111" fillId="36" borderId="15" xfId="0" applyFont="1" applyFill="1" applyBorder="1" applyAlignment="1" applyProtection="1">
      <alignment horizontal="center" vertical="center" shrinkToFit="1"/>
      <protection locked="0"/>
    </xf>
    <xf numFmtId="0" fontId="111" fillId="36" borderId="19" xfId="0" applyFont="1" applyFill="1" applyBorder="1" applyAlignment="1" applyProtection="1">
      <alignment horizontal="center" vertical="center" shrinkToFit="1"/>
      <protection locked="0"/>
    </xf>
    <xf numFmtId="0" fontId="111" fillId="36" borderId="17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>
      <alignment horizontal="left" vertical="center"/>
    </xf>
    <xf numFmtId="0" fontId="102" fillId="0" borderId="30" xfId="0" applyFont="1" applyFill="1" applyBorder="1" applyAlignment="1">
      <alignment horizontal="center" vertical="center" shrinkToFit="1"/>
    </xf>
    <xf numFmtId="0" fontId="112" fillId="0" borderId="0" xfId="0" applyFont="1" applyFill="1" applyBorder="1" applyAlignment="1">
      <alignment horizontal="center" vertical="center"/>
    </xf>
    <xf numFmtId="0" fontId="102" fillId="0" borderId="30" xfId="0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/>
    </xf>
    <xf numFmtId="0" fontId="102" fillId="0" borderId="30" xfId="0" applyFont="1" applyBorder="1" applyAlignment="1" applyProtection="1">
      <alignment horizontal="center" vertical="center" shrinkToFit="1"/>
      <protection locked="0"/>
    </xf>
    <xf numFmtId="0" fontId="102" fillId="0" borderId="22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29" xfId="0" applyFont="1" applyFill="1" applyBorder="1" applyAlignment="1">
      <alignment horizontal="center" vertical="center" wrapText="1"/>
    </xf>
    <xf numFmtId="0" fontId="102" fillId="38" borderId="30" xfId="0" applyFont="1" applyFill="1" applyBorder="1" applyAlignment="1">
      <alignment horizontal="center" vertical="center" shrinkToFit="1"/>
    </xf>
    <xf numFmtId="0" fontId="32" fillId="38" borderId="21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20" fillId="38" borderId="20" xfId="0" applyFont="1" applyFill="1" applyBorder="1" applyAlignment="1">
      <alignment horizontal="center" vertical="top"/>
    </xf>
    <xf numFmtId="0" fontId="18" fillId="37" borderId="22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/>
    </xf>
    <xf numFmtId="0" fontId="18" fillId="37" borderId="29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2" fillId="38" borderId="30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15" fillId="37" borderId="18" xfId="0" applyFont="1" applyFill="1" applyBorder="1" applyAlignment="1">
      <alignment horizontal="center" vertical="center"/>
    </xf>
    <xf numFmtId="0" fontId="15" fillId="37" borderId="12" xfId="0" applyFont="1" applyFill="1" applyBorder="1" applyAlignment="1">
      <alignment horizontal="center" vertical="center"/>
    </xf>
    <xf numFmtId="0" fontId="15" fillId="37" borderId="15" xfId="0" applyFont="1" applyFill="1" applyBorder="1" applyAlignment="1">
      <alignment horizontal="center" vertical="center"/>
    </xf>
    <xf numFmtId="0" fontId="15" fillId="37" borderId="19" xfId="0" applyFont="1" applyFill="1" applyBorder="1" applyAlignment="1">
      <alignment horizontal="center" vertical="center"/>
    </xf>
    <xf numFmtId="0" fontId="15" fillId="37" borderId="17" xfId="0" applyFont="1" applyFill="1" applyBorder="1" applyAlignment="1">
      <alignment horizontal="center" vertical="center"/>
    </xf>
    <xf numFmtId="0" fontId="98" fillId="9" borderId="0" xfId="0" applyFont="1" applyFill="1" applyAlignment="1">
      <alignment horizontal="center" vertical="center" shrinkToFit="1"/>
    </xf>
    <xf numFmtId="0" fontId="98" fillId="9" borderId="0" xfId="0" applyFont="1" applyFill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628650</xdr:colOff>
      <xdr:row>14</xdr:row>
      <xdr:rowOff>95250</xdr:rowOff>
    </xdr:from>
    <xdr:to>
      <xdr:col>13</xdr:col>
      <xdr:colOff>0</xdr:colOff>
      <xdr:row>15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86325" y="3219450"/>
          <a:ext cx="419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400050</xdr:colOff>
      <xdr:row>28</xdr:row>
      <xdr:rowOff>152400</xdr:rowOff>
    </xdr:from>
    <xdr:to>
      <xdr:col>17</xdr:col>
      <xdr:colOff>66675</xdr:colOff>
      <xdr:row>31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77125" y="595312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400050</xdr:colOff>
      <xdr:row>22</xdr:row>
      <xdr:rowOff>114300</xdr:rowOff>
    </xdr:from>
    <xdr:to>
      <xdr:col>17</xdr:col>
      <xdr:colOff>66675</xdr:colOff>
      <xdr:row>25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77125" y="4924425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171450</xdr:colOff>
      <xdr:row>14</xdr:row>
      <xdr:rowOff>333375</xdr:rowOff>
    </xdr:from>
    <xdr:to>
      <xdr:col>19</xdr:col>
      <xdr:colOff>523875</xdr:colOff>
      <xdr:row>15</xdr:row>
      <xdr:rowOff>133350</xdr:rowOff>
    </xdr:to>
    <xdr:sp>
      <xdr:nvSpPr>
        <xdr:cNvPr id="4" name="Flèche droite à entaille 4"/>
        <xdr:cNvSpPr>
          <a:spLocks/>
        </xdr:cNvSpPr>
      </xdr:nvSpPr>
      <xdr:spPr>
        <a:xfrm flipH="1">
          <a:off x="8296275" y="3457575"/>
          <a:ext cx="352425" cy="209550"/>
        </a:xfrm>
        <a:prstGeom prst="notchedRightArrow">
          <a:avLst>
            <a:gd name="adj" fmla="val 1962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23</xdr:col>
      <xdr:colOff>342900</xdr:colOff>
      <xdr:row>26</xdr:row>
      <xdr:rowOff>85725</xdr:rowOff>
    </xdr:from>
    <xdr:to>
      <xdr:col>24</xdr:col>
      <xdr:colOff>47625</xdr:colOff>
      <xdr:row>32</xdr:row>
      <xdr:rowOff>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5400000">
          <a:off x="11229975" y="5514975"/>
          <a:ext cx="4667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381000</xdr:colOff>
      <xdr:row>14</xdr:row>
      <xdr:rowOff>9525</xdr:rowOff>
    </xdr:from>
    <xdr:to>
      <xdr:col>16</xdr:col>
      <xdr:colOff>752475</xdr:colOff>
      <xdr:row>14</xdr:row>
      <xdr:rowOff>409575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5400000">
          <a:off x="7458075" y="3133725"/>
          <a:ext cx="371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27</xdr:row>
      <xdr:rowOff>28575</xdr:rowOff>
    </xdr:from>
    <xdr:to>
      <xdr:col>11</xdr:col>
      <xdr:colOff>66675</xdr:colOff>
      <xdr:row>29</xdr:row>
      <xdr:rowOff>76200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648200" y="563880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29</xdr:row>
      <xdr:rowOff>19050</xdr:rowOff>
    </xdr:from>
    <xdr:to>
      <xdr:col>13</xdr:col>
      <xdr:colOff>381000</xdr:colOff>
      <xdr:row>32</xdr:row>
      <xdr:rowOff>180975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6200000">
          <a:off x="5295900" y="6010275"/>
          <a:ext cx="390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485775</xdr:colOff>
      <xdr:row>9</xdr:row>
      <xdr:rowOff>0</xdr:rowOff>
    </xdr:from>
    <xdr:to>
      <xdr:col>8</xdr:col>
      <xdr:colOff>47625</xdr:colOff>
      <xdr:row>10</xdr:row>
      <xdr:rowOff>0</xdr:rowOff>
    </xdr:to>
    <xdr:sp>
      <xdr:nvSpPr>
        <xdr:cNvPr id="9" name="Line 65"/>
        <xdr:cNvSpPr>
          <a:spLocks/>
        </xdr:cNvSpPr>
      </xdr:nvSpPr>
      <xdr:spPr>
        <a:xfrm flipH="1">
          <a:off x="2971800" y="2286000"/>
          <a:ext cx="666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485775</xdr:colOff>
      <xdr:row>9</xdr:row>
      <xdr:rowOff>0</xdr:rowOff>
    </xdr:from>
    <xdr:to>
      <xdr:col>14</xdr:col>
      <xdr:colOff>47625</xdr:colOff>
      <xdr:row>10</xdr:row>
      <xdr:rowOff>0</xdr:rowOff>
    </xdr:to>
    <xdr:sp>
      <xdr:nvSpPr>
        <xdr:cNvPr id="10" name="Line 66"/>
        <xdr:cNvSpPr>
          <a:spLocks/>
        </xdr:cNvSpPr>
      </xdr:nvSpPr>
      <xdr:spPr>
        <a:xfrm flipH="1">
          <a:off x="5791200" y="2286000"/>
          <a:ext cx="666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18</xdr:col>
      <xdr:colOff>28575</xdr:colOff>
      <xdr:row>28</xdr:row>
      <xdr:rowOff>152400</xdr:rowOff>
    </xdr:from>
    <xdr:to>
      <xdr:col>19</xdr:col>
      <xdr:colOff>209550</xdr:colOff>
      <xdr:row>32</xdr:row>
      <xdr:rowOff>123825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6200000">
          <a:off x="7943850" y="5953125"/>
          <a:ext cx="390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485775</xdr:colOff>
      <xdr:row>9</xdr:row>
      <xdr:rowOff>0</xdr:rowOff>
    </xdr:from>
    <xdr:to>
      <xdr:col>22</xdr:col>
      <xdr:colOff>47625</xdr:colOff>
      <xdr:row>10</xdr:row>
      <xdr:rowOff>0</xdr:rowOff>
    </xdr:to>
    <xdr:sp>
      <xdr:nvSpPr>
        <xdr:cNvPr id="12" name="Line 68"/>
        <xdr:cNvSpPr>
          <a:spLocks/>
        </xdr:cNvSpPr>
      </xdr:nvSpPr>
      <xdr:spPr>
        <a:xfrm flipH="1">
          <a:off x="10363200" y="2286000"/>
          <a:ext cx="666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485775</xdr:colOff>
      <xdr:row>41</xdr:row>
      <xdr:rowOff>0</xdr:rowOff>
    </xdr:from>
    <xdr:to>
      <xdr:col>8</xdr:col>
      <xdr:colOff>47625</xdr:colOff>
      <xdr:row>42</xdr:row>
      <xdr:rowOff>0</xdr:rowOff>
    </xdr:to>
    <xdr:sp>
      <xdr:nvSpPr>
        <xdr:cNvPr id="13" name="Line 65"/>
        <xdr:cNvSpPr>
          <a:spLocks/>
        </xdr:cNvSpPr>
      </xdr:nvSpPr>
      <xdr:spPr>
        <a:xfrm flipH="1">
          <a:off x="2971800" y="8201025"/>
          <a:ext cx="666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31</xdr:row>
      <xdr:rowOff>161925</xdr:rowOff>
    </xdr:from>
    <xdr:to>
      <xdr:col>2</xdr:col>
      <xdr:colOff>9525</xdr:colOff>
      <xdr:row>32</xdr:row>
      <xdr:rowOff>28575</xdr:rowOff>
    </xdr:to>
    <xdr:sp>
      <xdr:nvSpPr>
        <xdr:cNvPr id="14" name="Line 66"/>
        <xdr:cNvSpPr>
          <a:spLocks/>
        </xdr:cNvSpPr>
      </xdr:nvSpPr>
      <xdr:spPr>
        <a:xfrm rot="16200000" flipH="1">
          <a:off x="781050" y="6534150"/>
          <a:ext cx="266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476250</xdr:colOff>
      <xdr:row>41</xdr:row>
      <xdr:rowOff>0</xdr:rowOff>
    </xdr:from>
    <xdr:to>
      <xdr:col>22</xdr:col>
      <xdr:colOff>38100</xdr:colOff>
      <xdr:row>42</xdr:row>
      <xdr:rowOff>0</xdr:rowOff>
    </xdr:to>
    <xdr:sp>
      <xdr:nvSpPr>
        <xdr:cNvPr id="15" name="Line 68"/>
        <xdr:cNvSpPr>
          <a:spLocks/>
        </xdr:cNvSpPr>
      </xdr:nvSpPr>
      <xdr:spPr>
        <a:xfrm flipH="1">
          <a:off x="10353675" y="8201025"/>
          <a:ext cx="666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476250</xdr:colOff>
      <xdr:row>41</xdr:row>
      <xdr:rowOff>0</xdr:rowOff>
    </xdr:from>
    <xdr:to>
      <xdr:col>15</xdr:col>
      <xdr:colOff>38100</xdr:colOff>
      <xdr:row>42</xdr:row>
      <xdr:rowOff>0</xdr:rowOff>
    </xdr:to>
    <xdr:sp>
      <xdr:nvSpPr>
        <xdr:cNvPr id="16" name="Line 66"/>
        <xdr:cNvSpPr>
          <a:spLocks/>
        </xdr:cNvSpPr>
      </xdr:nvSpPr>
      <xdr:spPr>
        <a:xfrm flipH="1">
          <a:off x="6286500" y="8201025"/>
          <a:ext cx="666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161925</xdr:rowOff>
    </xdr:from>
    <xdr:to>
      <xdr:col>1</xdr:col>
      <xdr:colOff>200025</xdr:colOff>
      <xdr:row>18</xdr:row>
      <xdr:rowOff>19050</xdr:rowOff>
    </xdr:to>
    <xdr:sp>
      <xdr:nvSpPr>
        <xdr:cNvPr id="17" name="Line 66"/>
        <xdr:cNvSpPr>
          <a:spLocks/>
        </xdr:cNvSpPr>
      </xdr:nvSpPr>
      <xdr:spPr>
        <a:xfrm rot="16200000" flipH="1">
          <a:off x="771525" y="4124325"/>
          <a:ext cx="1905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</xdr:colOff>
      <xdr:row>14</xdr:row>
      <xdr:rowOff>371475</xdr:rowOff>
    </xdr:from>
    <xdr:to>
      <xdr:col>27</xdr:col>
      <xdr:colOff>180975</xdr:colOff>
      <xdr:row>15</xdr:row>
      <xdr:rowOff>38100</xdr:rowOff>
    </xdr:to>
    <xdr:sp>
      <xdr:nvSpPr>
        <xdr:cNvPr id="18" name="Line 68"/>
        <xdr:cNvSpPr>
          <a:spLocks/>
        </xdr:cNvSpPr>
      </xdr:nvSpPr>
      <xdr:spPr>
        <a:xfrm rot="16200000" flipH="1">
          <a:off x="12392025" y="349567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12</xdr:row>
      <xdr:rowOff>28575</xdr:rowOff>
    </xdr:from>
    <xdr:to>
      <xdr:col>9</xdr:col>
      <xdr:colOff>0</xdr:colOff>
      <xdr:row>13</xdr:row>
      <xdr:rowOff>66675</xdr:rowOff>
    </xdr:to>
    <xdr:sp>
      <xdr:nvSpPr>
        <xdr:cNvPr id="19" name="Forme libre 22"/>
        <xdr:cNvSpPr>
          <a:spLocks/>
        </xdr:cNvSpPr>
      </xdr:nvSpPr>
      <xdr:spPr>
        <a:xfrm>
          <a:off x="2514600" y="2876550"/>
          <a:ext cx="981075" cy="238125"/>
        </a:xfrm>
        <a:custGeom>
          <a:pathLst>
            <a:path h="241300" w="990600">
              <a:moveTo>
                <a:pt x="0" y="0"/>
              </a:moveTo>
              <a:lnTo>
                <a:pt x="977900" y="114300"/>
              </a:lnTo>
              <a:lnTo>
                <a:pt x="12700" y="228600"/>
              </a:lnTo>
              <a:lnTo>
                <a:pt x="495300" y="0"/>
              </a:lnTo>
              <a:lnTo>
                <a:pt x="990600" y="241300"/>
              </a:ln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14</xdr:row>
      <xdr:rowOff>28575</xdr:rowOff>
    </xdr:from>
    <xdr:to>
      <xdr:col>18</xdr:col>
      <xdr:colOff>200025</xdr:colOff>
      <xdr:row>17</xdr:row>
      <xdr:rowOff>0</xdr:rowOff>
    </xdr:to>
    <xdr:sp>
      <xdr:nvSpPr>
        <xdr:cNvPr id="20" name="Forme libre 23"/>
        <xdr:cNvSpPr>
          <a:spLocks/>
        </xdr:cNvSpPr>
      </xdr:nvSpPr>
      <xdr:spPr>
        <a:xfrm>
          <a:off x="7848600" y="3152775"/>
          <a:ext cx="266700" cy="809625"/>
        </a:xfrm>
        <a:custGeom>
          <a:pathLst>
            <a:path h="774700" w="266700">
              <a:moveTo>
                <a:pt x="0" y="12700"/>
              </a:moveTo>
              <a:lnTo>
                <a:pt x="152400" y="774700"/>
              </a:lnTo>
              <a:lnTo>
                <a:pt x="266700" y="0"/>
              </a:ln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12</xdr:row>
      <xdr:rowOff>9525</xdr:rowOff>
    </xdr:from>
    <xdr:to>
      <xdr:col>14</xdr:col>
      <xdr:colOff>123825</xdr:colOff>
      <xdr:row>12</xdr:row>
      <xdr:rowOff>152400</xdr:rowOff>
    </xdr:to>
    <xdr:sp>
      <xdr:nvSpPr>
        <xdr:cNvPr id="21" name="Rectangle 24"/>
        <xdr:cNvSpPr>
          <a:spLocks/>
        </xdr:cNvSpPr>
      </xdr:nvSpPr>
      <xdr:spPr>
        <a:xfrm>
          <a:off x="5334000" y="2857500"/>
          <a:ext cx="600075" cy="142875"/>
        </a:xfrm>
        <a:prstGeom prst="rect">
          <a:avLst/>
        </a:prstGeom>
        <a:solidFill>
          <a:srgbClr val="D9D9D9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428625</xdr:colOff>
      <xdr:row>12</xdr:row>
      <xdr:rowOff>152400</xdr:rowOff>
    </xdr:from>
    <xdr:to>
      <xdr:col>15</xdr:col>
      <xdr:colOff>9525</xdr:colOff>
      <xdr:row>13</xdr:row>
      <xdr:rowOff>66675</xdr:rowOff>
    </xdr:to>
    <xdr:sp>
      <xdr:nvSpPr>
        <xdr:cNvPr id="22" name="Rectangle 25"/>
        <xdr:cNvSpPr>
          <a:spLocks/>
        </xdr:cNvSpPr>
      </xdr:nvSpPr>
      <xdr:spPr>
        <a:xfrm>
          <a:off x="5734050" y="3000375"/>
          <a:ext cx="590550" cy="114300"/>
        </a:xfrm>
        <a:prstGeom prst="rect">
          <a:avLst/>
        </a:prstGeom>
        <a:solidFill>
          <a:srgbClr val="D9D9D9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9525</xdr:colOff>
      <xdr:row>33</xdr:row>
      <xdr:rowOff>28575</xdr:rowOff>
    </xdr:from>
    <xdr:to>
      <xdr:col>22</xdr:col>
      <xdr:colOff>495300</xdr:colOff>
      <xdr:row>34</xdr:row>
      <xdr:rowOff>190500</xdr:rowOff>
    </xdr:to>
    <xdr:sp>
      <xdr:nvSpPr>
        <xdr:cNvPr id="23" name="Forme libre 27"/>
        <xdr:cNvSpPr>
          <a:spLocks/>
        </xdr:cNvSpPr>
      </xdr:nvSpPr>
      <xdr:spPr>
        <a:xfrm flipH="1" flipV="1">
          <a:off x="9886950" y="6791325"/>
          <a:ext cx="990600" cy="238125"/>
        </a:xfrm>
        <a:custGeom>
          <a:pathLst>
            <a:path h="241300" w="990600">
              <a:moveTo>
                <a:pt x="0" y="0"/>
              </a:moveTo>
              <a:lnTo>
                <a:pt x="977900" y="114300"/>
              </a:lnTo>
              <a:lnTo>
                <a:pt x="12700" y="228600"/>
              </a:lnTo>
              <a:lnTo>
                <a:pt x="495300" y="0"/>
              </a:lnTo>
              <a:lnTo>
                <a:pt x="990600" y="241300"/>
              </a:ln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28575</xdr:colOff>
      <xdr:row>33</xdr:row>
      <xdr:rowOff>9525</xdr:rowOff>
    </xdr:from>
    <xdr:to>
      <xdr:col>15</xdr:col>
      <xdr:colOff>752475</xdr:colOff>
      <xdr:row>35</xdr:row>
      <xdr:rowOff>9525</xdr:rowOff>
    </xdr:to>
    <xdr:sp>
      <xdr:nvSpPr>
        <xdr:cNvPr id="24" name="Forme libre 28"/>
        <xdr:cNvSpPr>
          <a:spLocks/>
        </xdr:cNvSpPr>
      </xdr:nvSpPr>
      <xdr:spPr>
        <a:xfrm flipV="1">
          <a:off x="5838825" y="6772275"/>
          <a:ext cx="1228725" cy="276225"/>
        </a:xfrm>
        <a:custGeom>
          <a:pathLst>
            <a:path h="279400" w="1231900">
              <a:moveTo>
                <a:pt x="0" y="0"/>
              </a:moveTo>
              <a:lnTo>
                <a:pt x="660400" y="279400"/>
              </a:lnTo>
              <a:lnTo>
                <a:pt x="1231900" y="25400"/>
              </a:lnTo>
            </a:path>
          </a:pathLst>
        </a:cu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47625</xdr:rowOff>
    </xdr:from>
    <xdr:to>
      <xdr:col>5</xdr:col>
      <xdr:colOff>47625</xdr:colOff>
      <xdr:row>20</xdr:row>
      <xdr:rowOff>38100</xdr:rowOff>
    </xdr:to>
    <xdr:sp>
      <xdr:nvSpPr>
        <xdr:cNvPr id="25" name="Forme libre 29"/>
        <xdr:cNvSpPr>
          <a:spLocks/>
        </xdr:cNvSpPr>
      </xdr:nvSpPr>
      <xdr:spPr>
        <a:xfrm>
          <a:off x="1438275" y="3810000"/>
          <a:ext cx="257175" cy="771525"/>
        </a:xfrm>
        <a:custGeom>
          <a:pathLst>
            <a:path h="774700" w="266700">
              <a:moveTo>
                <a:pt x="0" y="12700"/>
              </a:moveTo>
              <a:lnTo>
                <a:pt x="152400" y="774700"/>
              </a:lnTo>
              <a:lnTo>
                <a:pt x="266700" y="0"/>
              </a:ln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9525</xdr:colOff>
      <xdr:row>19</xdr:row>
      <xdr:rowOff>9525</xdr:rowOff>
    </xdr:from>
    <xdr:to>
      <xdr:col>23</xdr:col>
      <xdr:colOff>0</xdr:colOff>
      <xdr:row>20</xdr:row>
      <xdr:rowOff>66675</xdr:rowOff>
    </xdr:to>
    <xdr:sp>
      <xdr:nvSpPr>
        <xdr:cNvPr id="26" name="Connecteur droit 31"/>
        <xdr:cNvSpPr>
          <a:spLocks/>
        </xdr:cNvSpPr>
      </xdr:nvSpPr>
      <xdr:spPr>
        <a:xfrm>
          <a:off x="9886950" y="4352925"/>
          <a:ext cx="1000125" cy="257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28575</xdr:colOff>
      <xdr:row>19</xdr:row>
      <xdr:rowOff>0</xdr:rowOff>
    </xdr:from>
    <xdr:to>
      <xdr:col>23</xdr:col>
      <xdr:colOff>0</xdr:colOff>
      <xdr:row>20</xdr:row>
      <xdr:rowOff>47625</xdr:rowOff>
    </xdr:to>
    <xdr:sp>
      <xdr:nvSpPr>
        <xdr:cNvPr id="27" name="Connecteur droit 33"/>
        <xdr:cNvSpPr>
          <a:spLocks/>
        </xdr:cNvSpPr>
      </xdr:nvSpPr>
      <xdr:spPr>
        <a:xfrm flipH="1">
          <a:off x="9906000" y="4343400"/>
          <a:ext cx="981075" cy="247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485775</xdr:colOff>
      <xdr:row>19</xdr:row>
      <xdr:rowOff>9525</xdr:rowOff>
    </xdr:from>
    <xdr:to>
      <xdr:col>21</xdr:col>
      <xdr:colOff>485775</xdr:colOff>
      <xdr:row>20</xdr:row>
      <xdr:rowOff>47625</xdr:rowOff>
    </xdr:to>
    <xdr:sp>
      <xdr:nvSpPr>
        <xdr:cNvPr id="28" name="Connecteur droit 35"/>
        <xdr:cNvSpPr>
          <a:spLocks/>
        </xdr:cNvSpPr>
      </xdr:nvSpPr>
      <xdr:spPr>
        <a:xfrm>
          <a:off x="10363200" y="4352925"/>
          <a:ext cx="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733425</xdr:colOff>
      <xdr:row>11</xdr:row>
      <xdr:rowOff>85725</xdr:rowOff>
    </xdr:from>
    <xdr:to>
      <xdr:col>19</xdr:col>
      <xdr:colOff>314325</xdr:colOff>
      <xdr:row>14</xdr:row>
      <xdr:rowOff>76200</xdr:rowOff>
    </xdr:to>
    <xdr:grpSp>
      <xdr:nvGrpSpPr>
        <xdr:cNvPr id="29" name="Groupe 37"/>
        <xdr:cNvGrpSpPr>
          <a:grpSpLocks/>
        </xdr:cNvGrpSpPr>
      </xdr:nvGrpSpPr>
      <xdr:grpSpPr>
        <a:xfrm>
          <a:off x="7810500" y="2733675"/>
          <a:ext cx="628650" cy="466725"/>
          <a:chOff x="7823200" y="2641600"/>
          <a:chExt cx="642540" cy="470694"/>
        </a:xfrm>
        <a:solidFill>
          <a:srgbClr val="FFFFFF"/>
        </a:solidFill>
      </xdr:grpSpPr>
      <xdr:sp>
        <xdr:nvSpPr>
          <xdr:cNvPr id="30" name="Connecteur droit 32"/>
          <xdr:cNvSpPr>
            <a:spLocks/>
          </xdr:cNvSpPr>
        </xdr:nvSpPr>
        <xdr:spPr>
          <a:xfrm>
            <a:off x="7823200" y="2641600"/>
            <a:ext cx="4072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Connecteur droit avec flèche 36"/>
          <xdr:cNvSpPr>
            <a:spLocks/>
          </xdr:cNvSpPr>
        </xdr:nvSpPr>
        <xdr:spPr>
          <a:xfrm rot="5400000">
            <a:off x="7995079" y="2876947"/>
            <a:ext cx="47066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45</xdr:col>
      <xdr:colOff>228600</xdr:colOff>
      <xdr:row>11</xdr:row>
      <xdr:rowOff>28575</xdr:rowOff>
    </xdr:from>
    <xdr:to>
      <xdr:col>48</xdr:col>
      <xdr:colOff>619125</xdr:colOff>
      <xdr:row>25</xdr:row>
      <xdr:rowOff>0</xdr:rowOff>
    </xdr:to>
    <xdr:pic>
      <xdr:nvPicPr>
        <xdr:cNvPr id="32" name="Image 37" descr="Sens interd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821275" y="2676525"/>
          <a:ext cx="267652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390525</xdr:colOff>
      <xdr:row>13</xdr:row>
      <xdr:rowOff>9525</xdr:rowOff>
    </xdr:from>
    <xdr:to>
      <xdr:col>14</xdr:col>
      <xdr:colOff>428625</xdr:colOff>
      <xdr:row>13</xdr:row>
      <xdr:rowOff>9525</xdr:rowOff>
    </xdr:to>
    <xdr:sp>
      <xdr:nvSpPr>
        <xdr:cNvPr id="33" name="Lien droit 1"/>
        <xdr:cNvSpPr>
          <a:spLocks/>
        </xdr:cNvSpPr>
      </xdr:nvSpPr>
      <xdr:spPr>
        <a:xfrm flipH="1" flipV="1">
          <a:off x="5695950" y="30575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66675</xdr:rowOff>
    </xdr:from>
    <xdr:to>
      <xdr:col>14</xdr:col>
      <xdr:colOff>85725</xdr:colOff>
      <xdr:row>12</xdr:row>
      <xdr:rowOff>76200</xdr:rowOff>
    </xdr:to>
    <xdr:sp>
      <xdr:nvSpPr>
        <xdr:cNvPr id="34" name="Lien droit 2"/>
        <xdr:cNvSpPr>
          <a:spLocks/>
        </xdr:cNvSpPr>
      </xdr:nvSpPr>
      <xdr:spPr>
        <a:xfrm>
          <a:off x="5305425" y="291465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381000</xdr:colOff>
      <xdr:row>41</xdr:row>
      <xdr:rowOff>76200</xdr:rowOff>
    </xdr:from>
    <xdr:to>
      <xdr:col>40</xdr:col>
      <xdr:colOff>85725</xdr:colOff>
      <xdr:row>47</xdr:row>
      <xdr:rowOff>314325</xdr:rowOff>
    </xdr:to>
    <xdr:grpSp>
      <xdr:nvGrpSpPr>
        <xdr:cNvPr id="35" name="Groupe 38"/>
        <xdr:cNvGrpSpPr>
          <a:grpSpLocks/>
        </xdr:cNvGrpSpPr>
      </xdr:nvGrpSpPr>
      <xdr:grpSpPr>
        <a:xfrm>
          <a:off x="12315825" y="8277225"/>
          <a:ext cx="2695575" cy="1647825"/>
          <a:chOff x="10909300" y="8483600"/>
          <a:chExt cx="2705100" cy="1638300"/>
        </a:xfrm>
        <a:solidFill>
          <a:srgbClr val="FFFFFF"/>
        </a:solidFill>
      </xdr:grpSpPr>
      <xdr:sp>
        <xdr:nvSpPr>
          <xdr:cNvPr id="36" name="Forme libre 40"/>
          <xdr:cNvSpPr>
            <a:spLocks/>
          </xdr:cNvSpPr>
        </xdr:nvSpPr>
        <xdr:spPr>
          <a:xfrm>
            <a:off x="10909300" y="9165542"/>
            <a:ext cx="984656" cy="246155"/>
          </a:xfrm>
          <a:custGeom>
            <a:pathLst>
              <a:path h="241300" w="990600">
                <a:moveTo>
                  <a:pt x="0" y="0"/>
                </a:moveTo>
                <a:lnTo>
                  <a:pt x="977900" y="114300"/>
                </a:lnTo>
                <a:lnTo>
                  <a:pt x="12700" y="228600"/>
                </a:lnTo>
                <a:lnTo>
                  <a:pt x="495300" y="0"/>
                </a:lnTo>
                <a:lnTo>
                  <a:pt x="990600" y="241300"/>
                </a:ln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7" name="Image 37" descr="OB 1v à gauche.JP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2433624" y="8483600"/>
            <a:ext cx="1180776" cy="16383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42</xdr:col>
      <xdr:colOff>304800</xdr:colOff>
      <xdr:row>35</xdr:row>
      <xdr:rowOff>123825</xdr:rowOff>
    </xdr:from>
    <xdr:to>
      <xdr:col>54</xdr:col>
      <xdr:colOff>381000</xdr:colOff>
      <xdr:row>62</xdr:row>
      <xdr:rowOff>133350</xdr:rowOff>
    </xdr:to>
    <xdr:pic>
      <xdr:nvPicPr>
        <xdr:cNvPr id="38" name="Picture 18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611475" y="7162800"/>
          <a:ext cx="9220200" cy="848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628650</xdr:colOff>
      <xdr:row>14</xdr:row>
      <xdr:rowOff>95250</xdr:rowOff>
    </xdr:from>
    <xdr:to>
      <xdr:col>13</xdr:col>
      <xdr:colOff>0</xdr:colOff>
      <xdr:row>15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86325" y="3219450"/>
          <a:ext cx="419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400050</xdr:colOff>
      <xdr:row>28</xdr:row>
      <xdr:rowOff>152400</xdr:rowOff>
    </xdr:from>
    <xdr:to>
      <xdr:col>17</xdr:col>
      <xdr:colOff>66675</xdr:colOff>
      <xdr:row>31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77125" y="595312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400050</xdr:colOff>
      <xdr:row>22</xdr:row>
      <xdr:rowOff>114300</xdr:rowOff>
    </xdr:from>
    <xdr:to>
      <xdr:col>17</xdr:col>
      <xdr:colOff>66675</xdr:colOff>
      <xdr:row>25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77125" y="4924425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171450</xdr:colOff>
      <xdr:row>14</xdr:row>
      <xdr:rowOff>333375</xdr:rowOff>
    </xdr:from>
    <xdr:to>
      <xdr:col>19</xdr:col>
      <xdr:colOff>523875</xdr:colOff>
      <xdr:row>15</xdr:row>
      <xdr:rowOff>133350</xdr:rowOff>
    </xdr:to>
    <xdr:sp>
      <xdr:nvSpPr>
        <xdr:cNvPr id="4" name="Flèche droite à entaille 4"/>
        <xdr:cNvSpPr>
          <a:spLocks/>
        </xdr:cNvSpPr>
      </xdr:nvSpPr>
      <xdr:spPr>
        <a:xfrm flipH="1">
          <a:off x="8296275" y="3457575"/>
          <a:ext cx="352425" cy="209550"/>
        </a:xfrm>
        <a:prstGeom prst="notchedRightArrow">
          <a:avLst>
            <a:gd name="adj" fmla="val 1917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23</xdr:col>
      <xdr:colOff>342900</xdr:colOff>
      <xdr:row>26</xdr:row>
      <xdr:rowOff>85725</xdr:rowOff>
    </xdr:from>
    <xdr:to>
      <xdr:col>24</xdr:col>
      <xdr:colOff>47625</xdr:colOff>
      <xdr:row>32</xdr:row>
      <xdr:rowOff>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5400000">
          <a:off x="11229975" y="5514975"/>
          <a:ext cx="4667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381000</xdr:colOff>
      <xdr:row>14</xdr:row>
      <xdr:rowOff>9525</xdr:rowOff>
    </xdr:from>
    <xdr:to>
      <xdr:col>16</xdr:col>
      <xdr:colOff>752475</xdr:colOff>
      <xdr:row>14</xdr:row>
      <xdr:rowOff>409575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5400000">
          <a:off x="7458075" y="3133725"/>
          <a:ext cx="371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27</xdr:row>
      <xdr:rowOff>28575</xdr:rowOff>
    </xdr:from>
    <xdr:to>
      <xdr:col>11</xdr:col>
      <xdr:colOff>66675</xdr:colOff>
      <xdr:row>29</xdr:row>
      <xdr:rowOff>76200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648200" y="563880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29</xdr:row>
      <xdr:rowOff>19050</xdr:rowOff>
    </xdr:from>
    <xdr:to>
      <xdr:col>13</xdr:col>
      <xdr:colOff>381000</xdr:colOff>
      <xdr:row>32</xdr:row>
      <xdr:rowOff>180975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6200000">
          <a:off x="5295900" y="6010275"/>
          <a:ext cx="390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485775</xdr:colOff>
      <xdr:row>9</xdr:row>
      <xdr:rowOff>0</xdr:rowOff>
    </xdr:from>
    <xdr:to>
      <xdr:col>8</xdr:col>
      <xdr:colOff>47625</xdr:colOff>
      <xdr:row>10</xdr:row>
      <xdr:rowOff>0</xdr:rowOff>
    </xdr:to>
    <xdr:sp>
      <xdr:nvSpPr>
        <xdr:cNvPr id="9" name="Line 65"/>
        <xdr:cNvSpPr>
          <a:spLocks/>
        </xdr:cNvSpPr>
      </xdr:nvSpPr>
      <xdr:spPr>
        <a:xfrm flipH="1">
          <a:off x="2971800" y="2286000"/>
          <a:ext cx="666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485775</xdr:colOff>
      <xdr:row>9</xdr:row>
      <xdr:rowOff>0</xdr:rowOff>
    </xdr:from>
    <xdr:to>
      <xdr:col>14</xdr:col>
      <xdr:colOff>47625</xdr:colOff>
      <xdr:row>10</xdr:row>
      <xdr:rowOff>0</xdr:rowOff>
    </xdr:to>
    <xdr:sp>
      <xdr:nvSpPr>
        <xdr:cNvPr id="10" name="Line 66"/>
        <xdr:cNvSpPr>
          <a:spLocks/>
        </xdr:cNvSpPr>
      </xdr:nvSpPr>
      <xdr:spPr>
        <a:xfrm flipH="1">
          <a:off x="5791200" y="2286000"/>
          <a:ext cx="666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18</xdr:col>
      <xdr:colOff>28575</xdr:colOff>
      <xdr:row>28</xdr:row>
      <xdr:rowOff>152400</xdr:rowOff>
    </xdr:from>
    <xdr:to>
      <xdr:col>19</xdr:col>
      <xdr:colOff>209550</xdr:colOff>
      <xdr:row>32</xdr:row>
      <xdr:rowOff>123825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6200000">
          <a:off x="7943850" y="5953125"/>
          <a:ext cx="390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485775</xdr:colOff>
      <xdr:row>9</xdr:row>
      <xdr:rowOff>0</xdr:rowOff>
    </xdr:from>
    <xdr:to>
      <xdr:col>22</xdr:col>
      <xdr:colOff>47625</xdr:colOff>
      <xdr:row>10</xdr:row>
      <xdr:rowOff>0</xdr:rowOff>
    </xdr:to>
    <xdr:sp>
      <xdr:nvSpPr>
        <xdr:cNvPr id="12" name="Line 68"/>
        <xdr:cNvSpPr>
          <a:spLocks/>
        </xdr:cNvSpPr>
      </xdr:nvSpPr>
      <xdr:spPr>
        <a:xfrm flipH="1">
          <a:off x="10363200" y="2286000"/>
          <a:ext cx="666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485775</xdr:colOff>
      <xdr:row>41</xdr:row>
      <xdr:rowOff>0</xdr:rowOff>
    </xdr:from>
    <xdr:to>
      <xdr:col>8</xdr:col>
      <xdr:colOff>47625</xdr:colOff>
      <xdr:row>42</xdr:row>
      <xdr:rowOff>0</xdr:rowOff>
    </xdr:to>
    <xdr:sp>
      <xdr:nvSpPr>
        <xdr:cNvPr id="13" name="Line 65"/>
        <xdr:cNvSpPr>
          <a:spLocks/>
        </xdr:cNvSpPr>
      </xdr:nvSpPr>
      <xdr:spPr>
        <a:xfrm flipH="1">
          <a:off x="2971800" y="8201025"/>
          <a:ext cx="666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31</xdr:row>
      <xdr:rowOff>161925</xdr:rowOff>
    </xdr:from>
    <xdr:to>
      <xdr:col>2</xdr:col>
      <xdr:colOff>9525</xdr:colOff>
      <xdr:row>32</xdr:row>
      <xdr:rowOff>28575</xdr:rowOff>
    </xdr:to>
    <xdr:sp>
      <xdr:nvSpPr>
        <xdr:cNvPr id="14" name="Line 66"/>
        <xdr:cNvSpPr>
          <a:spLocks/>
        </xdr:cNvSpPr>
      </xdr:nvSpPr>
      <xdr:spPr>
        <a:xfrm rot="16200000" flipH="1">
          <a:off x="781050" y="6534150"/>
          <a:ext cx="266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476250</xdr:colOff>
      <xdr:row>41</xdr:row>
      <xdr:rowOff>0</xdr:rowOff>
    </xdr:from>
    <xdr:to>
      <xdr:col>22</xdr:col>
      <xdr:colOff>38100</xdr:colOff>
      <xdr:row>42</xdr:row>
      <xdr:rowOff>0</xdr:rowOff>
    </xdr:to>
    <xdr:sp>
      <xdr:nvSpPr>
        <xdr:cNvPr id="15" name="Line 68"/>
        <xdr:cNvSpPr>
          <a:spLocks/>
        </xdr:cNvSpPr>
      </xdr:nvSpPr>
      <xdr:spPr>
        <a:xfrm flipH="1">
          <a:off x="10353675" y="8201025"/>
          <a:ext cx="666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476250</xdr:colOff>
      <xdr:row>41</xdr:row>
      <xdr:rowOff>0</xdr:rowOff>
    </xdr:from>
    <xdr:to>
      <xdr:col>15</xdr:col>
      <xdr:colOff>38100</xdr:colOff>
      <xdr:row>42</xdr:row>
      <xdr:rowOff>0</xdr:rowOff>
    </xdr:to>
    <xdr:sp>
      <xdr:nvSpPr>
        <xdr:cNvPr id="16" name="Line 66"/>
        <xdr:cNvSpPr>
          <a:spLocks/>
        </xdr:cNvSpPr>
      </xdr:nvSpPr>
      <xdr:spPr>
        <a:xfrm flipH="1">
          <a:off x="6286500" y="8201025"/>
          <a:ext cx="666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161925</xdr:rowOff>
    </xdr:from>
    <xdr:to>
      <xdr:col>1</xdr:col>
      <xdr:colOff>200025</xdr:colOff>
      <xdr:row>18</xdr:row>
      <xdr:rowOff>19050</xdr:rowOff>
    </xdr:to>
    <xdr:sp>
      <xdr:nvSpPr>
        <xdr:cNvPr id="17" name="Line 66"/>
        <xdr:cNvSpPr>
          <a:spLocks/>
        </xdr:cNvSpPr>
      </xdr:nvSpPr>
      <xdr:spPr>
        <a:xfrm rot="16200000" flipH="1">
          <a:off x="771525" y="4124325"/>
          <a:ext cx="1905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</xdr:colOff>
      <xdr:row>14</xdr:row>
      <xdr:rowOff>371475</xdr:rowOff>
    </xdr:from>
    <xdr:to>
      <xdr:col>27</xdr:col>
      <xdr:colOff>180975</xdr:colOff>
      <xdr:row>15</xdr:row>
      <xdr:rowOff>38100</xdr:rowOff>
    </xdr:to>
    <xdr:sp>
      <xdr:nvSpPr>
        <xdr:cNvPr id="18" name="Line 68"/>
        <xdr:cNvSpPr>
          <a:spLocks/>
        </xdr:cNvSpPr>
      </xdr:nvSpPr>
      <xdr:spPr>
        <a:xfrm rot="16200000" flipH="1">
          <a:off x="12392025" y="349567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12</xdr:row>
      <xdr:rowOff>28575</xdr:rowOff>
    </xdr:from>
    <xdr:to>
      <xdr:col>9</xdr:col>
      <xdr:colOff>0</xdr:colOff>
      <xdr:row>13</xdr:row>
      <xdr:rowOff>66675</xdr:rowOff>
    </xdr:to>
    <xdr:sp>
      <xdr:nvSpPr>
        <xdr:cNvPr id="19" name="Forme libre 19"/>
        <xdr:cNvSpPr>
          <a:spLocks/>
        </xdr:cNvSpPr>
      </xdr:nvSpPr>
      <xdr:spPr>
        <a:xfrm>
          <a:off x="2514600" y="2876550"/>
          <a:ext cx="981075" cy="238125"/>
        </a:xfrm>
        <a:custGeom>
          <a:pathLst>
            <a:path h="241300" w="990600">
              <a:moveTo>
                <a:pt x="0" y="0"/>
              </a:moveTo>
              <a:lnTo>
                <a:pt x="977900" y="114300"/>
              </a:lnTo>
              <a:lnTo>
                <a:pt x="12700" y="228600"/>
              </a:lnTo>
              <a:lnTo>
                <a:pt x="495300" y="0"/>
              </a:lnTo>
              <a:lnTo>
                <a:pt x="990600" y="241300"/>
              </a:ln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14</xdr:row>
      <xdr:rowOff>28575</xdr:rowOff>
    </xdr:from>
    <xdr:to>
      <xdr:col>18</xdr:col>
      <xdr:colOff>200025</xdr:colOff>
      <xdr:row>17</xdr:row>
      <xdr:rowOff>0</xdr:rowOff>
    </xdr:to>
    <xdr:sp>
      <xdr:nvSpPr>
        <xdr:cNvPr id="20" name="Forme libre 20"/>
        <xdr:cNvSpPr>
          <a:spLocks/>
        </xdr:cNvSpPr>
      </xdr:nvSpPr>
      <xdr:spPr>
        <a:xfrm>
          <a:off x="7848600" y="3152775"/>
          <a:ext cx="266700" cy="809625"/>
        </a:xfrm>
        <a:custGeom>
          <a:pathLst>
            <a:path h="774700" w="266700">
              <a:moveTo>
                <a:pt x="0" y="12700"/>
              </a:moveTo>
              <a:lnTo>
                <a:pt x="152400" y="774700"/>
              </a:lnTo>
              <a:lnTo>
                <a:pt x="266700" y="0"/>
              </a:ln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12</xdr:row>
      <xdr:rowOff>9525</xdr:rowOff>
    </xdr:from>
    <xdr:to>
      <xdr:col>14</xdr:col>
      <xdr:colOff>123825</xdr:colOff>
      <xdr:row>12</xdr:row>
      <xdr:rowOff>152400</xdr:rowOff>
    </xdr:to>
    <xdr:sp>
      <xdr:nvSpPr>
        <xdr:cNvPr id="21" name="Rectangle 21"/>
        <xdr:cNvSpPr>
          <a:spLocks/>
        </xdr:cNvSpPr>
      </xdr:nvSpPr>
      <xdr:spPr>
        <a:xfrm>
          <a:off x="5334000" y="2857500"/>
          <a:ext cx="600075" cy="142875"/>
        </a:xfrm>
        <a:prstGeom prst="rect">
          <a:avLst/>
        </a:prstGeom>
        <a:solidFill>
          <a:srgbClr val="D9D9D9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428625</xdr:colOff>
      <xdr:row>12</xdr:row>
      <xdr:rowOff>152400</xdr:rowOff>
    </xdr:from>
    <xdr:to>
      <xdr:col>15</xdr:col>
      <xdr:colOff>9525</xdr:colOff>
      <xdr:row>13</xdr:row>
      <xdr:rowOff>66675</xdr:rowOff>
    </xdr:to>
    <xdr:sp>
      <xdr:nvSpPr>
        <xdr:cNvPr id="22" name="Rectangle 22"/>
        <xdr:cNvSpPr>
          <a:spLocks/>
        </xdr:cNvSpPr>
      </xdr:nvSpPr>
      <xdr:spPr>
        <a:xfrm>
          <a:off x="5734050" y="3000375"/>
          <a:ext cx="590550" cy="114300"/>
        </a:xfrm>
        <a:prstGeom prst="rect">
          <a:avLst/>
        </a:prstGeom>
        <a:solidFill>
          <a:srgbClr val="D9D9D9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9525</xdr:colOff>
      <xdr:row>33</xdr:row>
      <xdr:rowOff>28575</xdr:rowOff>
    </xdr:from>
    <xdr:to>
      <xdr:col>22</xdr:col>
      <xdr:colOff>495300</xdr:colOff>
      <xdr:row>34</xdr:row>
      <xdr:rowOff>190500</xdr:rowOff>
    </xdr:to>
    <xdr:sp>
      <xdr:nvSpPr>
        <xdr:cNvPr id="23" name="Forme libre 23"/>
        <xdr:cNvSpPr>
          <a:spLocks/>
        </xdr:cNvSpPr>
      </xdr:nvSpPr>
      <xdr:spPr>
        <a:xfrm flipH="1" flipV="1">
          <a:off x="9886950" y="6791325"/>
          <a:ext cx="990600" cy="238125"/>
        </a:xfrm>
        <a:custGeom>
          <a:pathLst>
            <a:path h="241300" w="990600">
              <a:moveTo>
                <a:pt x="0" y="0"/>
              </a:moveTo>
              <a:lnTo>
                <a:pt x="977900" y="114300"/>
              </a:lnTo>
              <a:lnTo>
                <a:pt x="12700" y="228600"/>
              </a:lnTo>
              <a:lnTo>
                <a:pt x="495300" y="0"/>
              </a:lnTo>
              <a:lnTo>
                <a:pt x="990600" y="241300"/>
              </a:ln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28575</xdr:colOff>
      <xdr:row>33</xdr:row>
      <xdr:rowOff>9525</xdr:rowOff>
    </xdr:from>
    <xdr:to>
      <xdr:col>15</xdr:col>
      <xdr:colOff>752475</xdr:colOff>
      <xdr:row>35</xdr:row>
      <xdr:rowOff>9525</xdr:rowOff>
    </xdr:to>
    <xdr:sp>
      <xdr:nvSpPr>
        <xdr:cNvPr id="24" name="Forme libre 24"/>
        <xdr:cNvSpPr>
          <a:spLocks/>
        </xdr:cNvSpPr>
      </xdr:nvSpPr>
      <xdr:spPr>
        <a:xfrm flipV="1">
          <a:off x="5838825" y="6772275"/>
          <a:ext cx="1228725" cy="276225"/>
        </a:xfrm>
        <a:custGeom>
          <a:pathLst>
            <a:path h="279400" w="1231900">
              <a:moveTo>
                <a:pt x="0" y="0"/>
              </a:moveTo>
              <a:lnTo>
                <a:pt x="660400" y="279400"/>
              </a:lnTo>
              <a:lnTo>
                <a:pt x="1231900" y="25400"/>
              </a:lnTo>
            </a:path>
          </a:pathLst>
        </a:cu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47625</xdr:rowOff>
    </xdr:from>
    <xdr:to>
      <xdr:col>5</xdr:col>
      <xdr:colOff>47625</xdr:colOff>
      <xdr:row>20</xdr:row>
      <xdr:rowOff>38100</xdr:rowOff>
    </xdr:to>
    <xdr:sp>
      <xdr:nvSpPr>
        <xdr:cNvPr id="25" name="Forme libre 25"/>
        <xdr:cNvSpPr>
          <a:spLocks/>
        </xdr:cNvSpPr>
      </xdr:nvSpPr>
      <xdr:spPr>
        <a:xfrm>
          <a:off x="1438275" y="3810000"/>
          <a:ext cx="257175" cy="771525"/>
        </a:xfrm>
        <a:custGeom>
          <a:pathLst>
            <a:path h="774700" w="266700">
              <a:moveTo>
                <a:pt x="0" y="12700"/>
              </a:moveTo>
              <a:lnTo>
                <a:pt x="152400" y="774700"/>
              </a:lnTo>
              <a:lnTo>
                <a:pt x="266700" y="0"/>
              </a:ln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9525</xdr:colOff>
      <xdr:row>19</xdr:row>
      <xdr:rowOff>9525</xdr:rowOff>
    </xdr:from>
    <xdr:to>
      <xdr:col>23</xdr:col>
      <xdr:colOff>0</xdr:colOff>
      <xdr:row>20</xdr:row>
      <xdr:rowOff>66675</xdr:rowOff>
    </xdr:to>
    <xdr:sp>
      <xdr:nvSpPr>
        <xdr:cNvPr id="26" name="Connecteur droit 26"/>
        <xdr:cNvSpPr>
          <a:spLocks/>
        </xdr:cNvSpPr>
      </xdr:nvSpPr>
      <xdr:spPr>
        <a:xfrm>
          <a:off x="9886950" y="4352925"/>
          <a:ext cx="1000125" cy="257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28575</xdr:colOff>
      <xdr:row>19</xdr:row>
      <xdr:rowOff>0</xdr:rowOff>
    </xdr:from>
    <xdr:to>
      <xdr:col>23</xdr:col>
      <xdr:colOff>0</xdr:colOff>
      <xdr:row>20</xdr:row>
      <xdr:rowOff>47625</xdr:rowOff>
    </xdr:to>
    <xdr:sp>
      <xdr:nvSpPr>
        <xdr:cNvPr id="27" name="Connecteur droit 27"/>
        <xdr:cNvSpPr>
          <a:spLocks/>
        </xdr:cNvSpPr>
      </xdr:nvSpPr>
      <xdr:spPr>
        <a:xfrm flipH="1">
          <a:off x="9906000" y="4343400"/>
          <a:ext cx="981075" cy="247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485775</xdr:colOff>
      <xdr:row>19</xdr:row>
      <xdr:rowOff>9525</xdr:rowOff>
    </xdr:from>
    <xdr:to>
      <xdr:col>21</xdr:col>
      <xdr:colOff>485775</xdr:colOff>
      <xdr:row>20</xdr:row>
      <xdr:rowOff>47625</xdr:rowOff>
    </xdr:to>
    <xdr:sp>
      <xdr:nvSpPr>
        <xdr:cNvPr id="28" name="Connecteur droit 28"/>
        <xdr:cNvSpPr>
          <a:spLocks/>
        </xdr:cNvSpPr>
      </xdr:nvSpPr>
      <xdr:spPr>
        <a:xfrm>
          <a:off x="10363200" y="4352925"/>
          <a:ext cx="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733425</xdr:colOff>
      <xdr:row>11</xdr:row>
      <xdr:rowOff>85725</xdr:rowOff>
    </xdr:from>
    <xdr:to>
      <xdr:col>19</xdr:col>
      <xdr:colOff>314325</xdr:colOff>
      <xdr:row>14</xdr:row>
      <xdr:rowOff>76200</xdr:rowOff>
    </xdr:to>
    <xdr:grpSp>
      <xdr:nvGrpSpPr>
        <xdr:cNvPr id="29" name="Groupe 37"/>
        <xdr:cNvGrpSpPr>
          <a:grpSpLocks/>
        </xdr:cNvGrpSpPr>
      </xdr:nvGrpSpPr>
      <xdr:grpSpPr>
        <a:xfrm>
          <a:off x="7810500" y="2733675"/>
          <a:ext cx="628650" cy="466725"/>
          <a:chOff x="7823200" y="2641600"/>
          <a:chExt cx="642540" cy="470694"/>
        </a:xfrm>
        <a:solidFill>
          <a:srgbClr val="FFFFFF"/>
        </a:solidFill>
      </xdr:grpSpPr>
      <xdr:sp>
        <xdr:nvSpPr>
          <xdr:cNvPr id="30" name="Connecteur droit 30"/>
          <xdr:cNvSpPr>
            <a:spLocks/>
          </xdr:cNvSpPr>
        </xdr:nvSpPr>
        <xdr:spPr>
          <a:xfrm>
            <a:off x="7823200" y="2641600"/>
            <a:ext cx="4072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Connecteur droit avec flèche 31"/>
          <xdr:cNvSpPr>
            <a:spLocks/>
          </xdr:cNvSpPr>
        </xdr:nvSpPr>
        <xdr:spPr>
          <a:xfrm rot="5400000">
            <a:off x="7995079" y="2876947"/>
            <a:ext cx="47066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45</xdr:col>
      <xdr:colOff>161925</xdr:colOff>
      <xdr:row>9</xdr:row>
      <xdr:rowOff>142875</xdr:rowOff>
    </xdr:from>
    <xdr:to>
      <xdr:col>48</xdr:col>
      <xdr:colOff>552450</xdr:colOff>
      <xdr:row>28</xdr:row>
      <xdr:rowOff>28575</xdr:rowOff>
    </xdr:to>
    <xdr:pic>
      <xdr:nvPicPr>
        <xdr:cNvPr id="32" name="Image 37" descr="Sens interd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754600" y="2428875"/>
          <a:ext cx="267652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390525</xdr:colOff>
      <xdr:row>13</xdr:row>
      <xdr:rowOff>9525</xdr:rowOff>
    </xdr:from>
    <xdr:to>
      <xdr:col>14</xdr:col>
      <xdr:colOff>428625</xdr:colOff>
      <xdr:row>13</xdr:row>
      <xdr:rowOff>9525</xdr:rowOff>
    </xdr:to>
    <xdr:sp>
      <xdr:nvSpPr>
        <xdr:cNvPr id="33" name="Lien droit 1"/>
        <xdr:cNvSpPr>
          <a:spLocks/>
        </xdr:cNvSpPr>
      </xdr:nvSpPr>
      <xdr:spPr>
        <a:xfrm flipH="1" flipV="1">
          <a:off x="5695950" y="30575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66675</xdr:rowOff>
    </xdr:from>
    <xdr:to>
      <xdr:col>14</xdr:col>
      <xdr:colOff>85725</xdr:colOff>
      <xdr:row>12</xdr:row>
      <xdr:rowOff>76200</xdr:rowOff>
    </xdr:to>
    <xdr:sp>
      <xdr:nvSpPr>
        <xdr:cNvPr id="34" name="Lien droit 2"/>
        <xdr:cNvSpPr>
          <a:spLocks/>
        </xdr:cNvSpPr>
      </xdr:nvSpPr>
      <xdr:spPr>
        <a:xfrm>
          <a:off x="5305425" y="291465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381000</xdr:colOff>
      <xdr:row>41</xdr:row>
      <xdr:rowOff>76200</xdr:rowOff>
    </xdr:from>
    <xdr:to>
      <xdr:col>40</xdr:col>
      <xdr:colOff>85725</xdr:colOff>
      <xdr:row>47</xdr:row>
      <xdr:rowOff>314325</xdr:rowOff>
    </xdr:to>
    <xdr:grpSp>
      <xdr:nvGrpSpPr>
        <xdr:cNvPr id="35" name="Groupe 38"/>
        <xdr:cNvGrpSpPr>
          <a:grpSpLocks/>
        </xdr:cNvGrpSpPr>
      </xdr:nvGrpSpPr>
      <xdr:grpSpPr>
        <a:xfrm>
          <a:off x="12315825" y="8277225"/>
          <a:ext cx="2695575" cy="1647825"/>
          <a:chOff x="10909300" y="8483600"/>
          <a:chExt cx="2705100" cy="1638300"/>
        </a:xfrm>
        <a:solidFill>
          <a:srgbClr val="FFFFFF"/>
        </a:solidFill>
      </xdr:grpSpPr>
      <xdr:sp>
        <xdr:nvSpPr>
          <xdr:cNvPr id="36" name="Forme libre 36"/>
          <xdr:cNvSpPr>
            <a:spLocks/>
          </xdr:cNvSpPr>
        </xdr:nvSpPr>
        <xdr:spPr>
          <a:xfrm>
            <a:off x="10909300" y="9165542"/>
            <a:ext cx="984656" cy="246155"/>
          </a:xfrm>
          <a:custGeom>
            <a:pathLst>
              <a:path h="241300" w="990600">
                <a:moveTo>
                  <a:pt x="0" y="0"/>
                </a:moveTo>
                <a:lnTo>
                  <a:pt x="977900" y="114300"/>
                </a:lnTo>
                <a:lnTo>
                  <a:pt x="12700" y="228600"/>
                </a:lnTo>
                <a:lnTo>
                  <a:pt x="495300" y="0"/>
                </a:lnTo>
                <a:lnTo>
                  <a:pt x="990600" y="241300"/>
                </a:ln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7" name="Image 37" descr="OB 1v à gauche.JP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2433624" y="8483600"/>
            <a:ext cx="1180776" cy="16383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44</xdr:col>
      <xdr:colOff>0</xdr:colOff>
      <xdr:row>35</xdr:row>
      <xdr:rowOff>0</xdr:rowOff>
    </xdr:from>
    <xdr:to>
      <xdr:col>56</xdr:col>
      <xdr:colOff>76200</xdr:colOff>
      <xdr:row>62</xdr:row>
      <xdr:rowOff>228600</xdr:rowOff>
    </xdr:to>
    <xdr:pic>
      <xdr:nvPicPr>
        <xdr:cNvPr id="38" name="Picture 18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830675" y="7038975"/>
          <a:ext cx="9220200" cy="870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e%20CONTROLE%20P2-1%20Inventaire%202n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ôle P2-1"/>
      <sheetName val="Corrig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2"/>
  <sheetViews>
    <sheetView showGridLines="0" tabSelected="1" zoomScale="60" zoomScaleNormal="60" zoomScalePageLayoutView="0" workbookViewId="0" topLeftCell="A1">
      <selection activeCell="R2" sqref="R2:V2"/>
    </sheetView>
  </sheetViews>
  <sheetFormatPr defaultColWidth="11.421875" defaultRowHeight="15"/>
  <cols>
    <col min="1" max="1" width="11.421875" style="4" customWidth="1"/>
    <col min="2" max="2" width="4.140625" style="4" customWidth="1"/>
    <col min="3" max="4" width="3.00390625" style="4" customWidth="1"/>
    <col min="5" max="5" width="3.140625" style="4" customWidth="1"/>
    <col min="6" max="6" width="1.1484375" style="4" customWidth="1"/>
    <col min="7" max="7" width="11.421875" style="4" customWidth="1"/>
    <col min="8" max="9" width="7.57421875" style="4" customWidth="1"/>
    <col min="10" max="11" width="11.421875" style="4" customWidth="1"/>
    <col min="12" max="12" width="3.140625" style="4" customWidth="1"/>
    <col min="13" max="13" width="1.1484375" style="4" customWidth="1"/>
    <col min="14" max="15" width="7.57421875" style="4" customWidth="1"/>
    <col min="16" max="17" width="11.421875" style="4" customWidth="1"/>
    <col min="18" max="18" width="1.1484375" style="4" customWidth="1"/>
    <col min="19" max="19" width="3.140625" style="4" customWidth="1"/>
    <col min="20" max="20" width="14.8515625" style="4" customWidth="1"/>
    <col min="21" max="21" width="11.421875" style="4" customWidth="1"/>
    <col min="22" max="23" width="7.57421875" style="4" customWidth="1"/>
    <col min="24" max="24" width="11.421875" style="4" customWidth="1"/>
    <col min="25" max="25" width="1.1484375" style="4" customWidth="1"/>
    <col min="26" max="26" width="3.140625" style="4" customWidth="1"/>
    <col min="27" max="27" width="6.7109375" style="4" customWidth="1"/>
    <col min="28" max="28" width="4.140625" style="4" customWidth="1"/>
    <col min="29" max="29" width="3.00390625" style="4" customWidth="1"/>
    <col min="30" max="30" width="2.421875" style="73" customWidth="1"/>
    <col min="31" max="39" width="2.8515625" style="73" customWidth="1"/>
    <col min="40" max="42" width="2.8515625" style="80" customWidth="1"/>
    <col min="43" max="43" width="11.421875" style="80" customWidth="1"/>
    <col min="44" max="16384" width="11.421875" style="4" customWidth="1"/>
  </cols>
  <sheetData>
    <row r="1" spans="1:43" s="54" customFormat="1" ht="21" customHeight="1">
      <c r="A1" s="171" t="s">
        <v>38</v>
      </c>
      <c r="B1" s="171"/>
      <c r="C1" s="171"/>
      <c r="D1" s="171"/>
      <c r="E1" s="171"/>
      <c r="F1" s="171"/>
      <c r="G1" s="170" t="s">
        <v>96</v>
      </c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5"/>
      <c r="AC1" s="175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80"/>
      <c r="AO1" s="80"/>
      <c r="AP1" s="80"/>
      <c r="AQ1" s="80"/>
    </row>
    <row r="2" spans="1:43" s="54" customFormat="1" ht="44.25">
      <c r="A2" s="79">
        <v>0.11</v>
      </c>
      <c r="B2" s="172" t="s">
        <v>8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4"/>
      <c r="R2" s="148" t="s">
        <v>100</v>
      </c>
      <c r="S2" s="149"/>
      <c r="T2" s="149"/>
      <c r="U2" s="149"/>
      <c r="V2" s="150"/>
      <c r="W2" s="191" t="s">
        <v>101</v>
      </c>
      <c r="X2" s="192"/>
      <c r="Y2" s="192"/>
      <c r="Z2" s="193"/>
      <c r="AA2" s="122"/>
      <c r="AB2" s="187" t="s">
        <v>87</v>
      </c>
      <c r="AC2" s="188"/>
      <c r="AD2" s="54" t="s">
        <v>98</v>
      </c>
      <c r="AE2" s="73"/>
      <c r="AF2" s="73"/>
      <c r="AG2" s="73"/>
      <c r="AH2" s="73"/>
      <c r="AI2" s="73"/>
      <c r="AJ2" s="73"/>
      <c r="AK2" s="73"/>
      <c r="AL2" s="73"/>
      <c r="AM2" s="73"/>
      <c r="AN2" s="80"/>
      <c r="AO2" s="80"/>
      <c r="AP2" s="80"/>
      <c r="AQ2" s="80"/>
    </row>
    <row r="3" spans="1:43" s="54" customFormat="1" ht="12.75" customHeight="1">
      <c r="A3" s="60" t="s">
        <v>47</v>
      </c>
      <c r="B3" s="55"/>
      <c r="C3" s="63" t="s">
        <v>9</v>
      </c>
      <c r="D3" s="64" t="s">
        <v>8</v>
      </c>
      <c r="E3" s="64" t="s">
        <v>10</v>
      </c>
      <c r="F3" s="65" t="s">
        <v>11</v>
      </c>
      <c r="G3" s="65" t="s">
        <v>7</v>
      </c>
      <c r="H3" s="65" t="s">
        <v>12</v>
      </c>
      <c r="I3" s="65" t="s">
        <v>13</v>
      </c>
      <c r="J3" s="66"/>
      <c r="K3" s="66"/>
      <c r="L3" s="66" t="s">
        <v>14</v>
      </c>
      <c r="M3" s="66" t="s">
        <v>15</v>
      </c>
      <c r="N3" s="66"/>
      <c r="O3" s="66"/>
      <c r="X3" s="176" t="s">
        <v>89</v>
      </c>
      <c r="Y3" s="176"/>
      <c r="Z3" s="176"/>
      <c r="AA3" s="91" t="s">
        <v>99</v>
      </c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80"/>
      <c r="AO3" s="80"/>
      <c r="AP3" s="80"/>
      <c r="AQ3" s="80"/>
    </row>
    <row r="4" spans="2:44" s="83" customFormat="1" ht="12.75" customHeight="1">
      <c r="B4" s="84" t="s">
        <v>93</v>
      </c>
      <c r="C4" s="84" t="s">
        <v>94</v>
      </c>
      <c r="D4" s="84" t="s">
        <v>95</v>
      </c>
      <c r="E4" s="85" t="s">
        <v>96</v>
      </c>
      <c r="F4" s="86"/>
      <c r="G4" s="87"/>
      <c r="H4" s="87"/>
      <c r="I4" s="87"/>
      <c r="J4" s="87"/>
      <c r="AB4" s="88" t="s">
        <v>97</v>
      </c>
      <c r="AE4" s="89"/>
      <c r="AF4" s="90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</row>
    <row r="5" spans="1:49" s="54" customFormat="1" ht="23.25" customHeight="1">
      <c r="A5" s="176" t="s">
        <v>16</v>
      </c>
      <c r="B5" s="176"/>
      <c r="C5" s="176"/>
      <c r="D5" s="61"/>
      <c r="E5" s="61" t="s">
        <v>17</v>
      </c>
      <c r="F5" s="61"/>
      <c r="H5" s="57"/>
      <c r="I5" s="58"/>
      <c r="T5" s="181" t="s">
        <v>33</v>
      </c>
      <c r="U5" s="54" t="s">
        <v>34</v>
      </c>
      <c r="V5" s="179" t="s">
        <v>35</v>
      </c>
      <c r="W5" s="179"/>
      <c r="X5" s="179"/>
      <c r="Y5" s="179"/>
      <c r="Z5" s="179"/>
      <c r="AA5" s="179"/>
      <c r="AB5" s="179"/>
      <c r="AC5" s="179"/>
      <c r="AD5" s="73"/>
      <c r="AE5" s="73"/>
      <c r="AT5" s="194" t="s">
        <v>102</v>
      </c>
      <c r="AU5" s="195"/>
      <c r="AV5" s="195"/>
      <c r="AW5" s="196"/>
    </row>
    <row r="6" spans="1:49" s="54" customFormat="1" ht="23.25" customHeight="1">
      <c r="A6" s="62" t="s">
        <v>19</v>
      </c>
      <c r="B6" s="62" t="s">
        <v>18</v>
      </c>
      <c r="D6" s="59"/>
      <c r="E6" s="54" t="s">
        <v>127</v>
      </c>
      <c r="T6" s="181"/>
      <c r="U6" s="54" t="s">
        <v>36</v>
      </c>
      <c r="X6" s="54" t="s">
        <v>37</v>
      </c>
      <c r="AD6" s="73"/>
      <c r="AE6" s="73"/>
      <c r="AG6" s="81" t="s">
        <v>103</v>
      </c>
      <c r="AR6" s="92" t="s">
        <v>104</v>
      </c>
      <c r="AT6" s="93" t="s">
        <v>105</v>
      </c>
      <c r="AU6" s="94" t="s">
        <v>106</v>
      </c>
      <c r="AV6" s="94" t="s">
        <v>107</v>
      </c>
      <c r="AW6" s="95" t="s">
        <v>88</v>
      </c>
    </row>
    <row r="7" spans="1:49" s="54" customFormat="1" ht="14.25">
      <c r="A7" s="177" t="str">
        <f>IF($A$2&gt;1.25,A6,B6)</f>
        <v>ì</v>
      </c>
      <c r="B7" s="177"/>
      <c r="C7" s="178" t="s">
        <v>20</v>
      </c>
      <c r="D7" s="59"/>
      <c r="K7" s="54" t="s">
        <v>45</v>
      </c>
      <c r="T7" s="70" t="s">
        <v>43</v>
      </c>
      <c r="AB7" s="72" t="s">
        <v>46</v>
      </c>
      <c r="AD7" s="73"/>
      <c r="AE7" s="73"/>
      <c r="AG7" s="96" t="s">
        <v>108</v>
      </c>
      <c r="AH7" s="54" t="s">
        <v>109</v>
      </c>
      <c r="AT7" s="93">
        <v>1628</v>
      </c>
      <c r="AU7" s="94">
        <v>1725</v>
      </c>
      <c r="AV7" s="94">
        <v>1827</v>
      </c>
      <c r="AW7" s="95" t="s">
        <v>88</v>
      </c>
    </row>
    <row r="8" spans="1:49" s="54" customFormat="1" ht="14.25">
      <c r="A8" s="177"/>
      <c r="B8" s="177"/>
      <c r="C8" s="178"/>
      <c r="D8" s="59"/>
      <c r="AD8" s="73"/>
      <c r="AE8" s="73"/>
      <c r="AG8" s="97"/>
      <c r="AK8" s="82" t="s">
        <v>92</v>
      </c>
      <c r="AM8" s="197" t="s">
        <v>88</v>
      </c>
      <c r="AN8" s="198"/>
      <c r="AO8" s="198"/>
      <c r="AP8" s="198"/>
      <c r="AQ8" s="199"/>
      <c r="AT8" s="93" t="s">
        <v>90</v>
      </c>
      <c r="AU8" s="94" t="s">
        <v>91</v>
      </c>
      <c r="AV8" s="94" t="s">
        <v>88</v>
      </c>
      <c r="AW8" s="95"/>
    </row>
    <row r="9" spans="1:49" ht="14.25">
      <c r="A9" s="177"/>
      <c r="B9" s="177"/>
      <c r="C9" s="178"/>
      <c r="D9" s="44"/>
      <c r="AF9" s="54"/>
      <c r="AG9" s="98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3"/>
      <c r="AU9" s="94"/>
      <c r="AV9" s="94"/>
      <c r="AW9" s="95"/>
    </row>
    <row r="10" spans="1:49" ht="14.25">
      <c r="A10" s="177"/>
      <c r="B10" s="177"/>
      <c r="E10" s="139">
        <f>ROUNDUP((1025*$A$2),0)</f>
        <v>113</v>
      </c>
      <c r="F10" s="140"/>
      <c r="G10" s="141"/>
      <c r="H10" s="45">
        <f>ROUNDUP((840*$A$2),0)</f>
        <v>93</v>
      </c>
      <c r="I10" s="46">
        <f>ROUNDUP((950*$A$2),0)</f>
        <v>105</v>
      </c>
      <c r="J10" s="140">
        <f>ROUNDUP((3525*$A$2),0)</f>
        <v>388</v>
      </c>
      <c r="K10" s="140"/>
      <c r="L10" s="140"/>
      <c r="M10" s="141"/>
      <c r="N10" s="45">
        <f>ROUNDUP((740*$A$2),0)</f>
        <v>82</v>
      </c>
      <c r="O10" s="46">
        <f>ROUNDUP((850*$A$2),0)</f>
        <v>94</v>
      </c>
      <c r="P10" s="140">
        <f>ROUNDUP((3425*$A$2),0)</f>
        <v>377</v>
      </c>
      <c r="Q10" s="140"/>
      <c r="R10" s="140"/>
      <c r="S10" s="141"/>
      <c r="T10" s="139">
        <f>ROUNDUP((2925*$A$2),0)</f>
        <v>322</v>
      </c>
      <c r="U10" s="141"/>
      <c r="V10" s="45">
        <f>ROUNDUP((900*$A$2),0)</f>
        <v>99</v>
      </c>
      <c r="W10" s="46">
        <f>ROUNDUP((930*$A$2),0)</f>
        <v>103</v>
      </c>
      <c r="X10" s="139">
        <f>ROUNDUP((1089*$A$2),0)</f>
        <v>120</v>
      </c>
      <c r="Y10" s="140"/>
      <c r="Z10" s="141"/>
      <c r="AF10" s="54"/>
      <c r="AG10" s="98"/>
      <c r="AH10" s="99"/>
      <c r="AI10" s="99"/>
      <c r="AJ10" s="99"/>
      <c r="AK10" s="99"/>
      <c r="AL10" s="99"/>
      <c r="AM10" s="80"/>
      <c r="AR10" s="99"/>
      <c r="AS10" s="99"/>
      <c r="AT10" s="100" t="s">
        <v>73</v>
      </c>
      <c r="AU10" s="94"/>
      <c r="AV10" s="101" t="s">
        <v>2</v>
      </c>
      <c r="AW10" s="95"/>
    </row>
    <row r="11" spans="1:49" ht="14.25">
      <c r="A11" s="177"/>
      <c r="B11" s="177"/>
      <c r="E11" s="10"/>
      <c r="H11" s="10"/>
      <c r="I11" s="7"/>
      <c r="N11" s="10"/>
      <c r="O11" s="7"/>
      <c r="S11" s="7"/>
      <c r="V11" s="10"/>
      <c r="W11" s="7"/>
      <c r="Z11" s="7"/>
      <c r="AF11" s="54"/>
      <c r="AG11" s="96" t="s">
        <v>110</v>
      </c>
      <c r="AH11" s="54" t="s">
        <v>111</v>
      </c>
      <c r="AI11" s="54"/>
      <c r="AJ11" s="54"/>
      <c r="AK11" s="54"/>
      <c r="AL11" s="54"/>
      <c r="AM11" s="54"/>
      <c r="AN11" s="54"/>
      <c r="AO11" s="54"/>
      <c r="AP11" s="54"/>
      <c r="AQ11" s="54"/>
      <c r="AR11" s="80"/>
      <c r="AS11" s="80"/>
      <c r="AT11" s="100" t="s">
        <v>75</v>
      </c>
      <c r="AU11" s="102"/>
      <c r="AV11" s="101" t="s">
        <v>60</v>
      </c>
      <c r="AW11" s="103"/>
    </row>
    <row r="12" spans="4:49" ht="15.75" thickBot="1">
      <c r="D12" s="67" t="s">
        <v>31</v>
      </c>
      <c r="E12" s="68" t="s">
        <v>32</v>
      </c>
      <c r="Z12" s="7"/>
      <c r="AF12" s="54"/>
      <c r="AG12" s="97"/>
      <c r="AH12" s="54"/>
      <c r="AI12" s="54"/>
      <c r="AJ12" s="54"/>
      <c r="AK12" s="82" t="s">
        <v>92</v>
      </c>
      <c r="AL12" s="54"/>
      <c r="AM12" s="197" t="s">
        <v>88</v>
      </c>
      <c r="AN12" s="198"/>
      <c r="AO12" s="198"/>
      <c r="AP12" s="198"/>
      <c r="AQ12" s="199"/>
      <c r="AR12" s="80"/>
      <c r="AS12" s="80"/>
      <c r="AT12" s="100" t="s">
        <v>74</v>
      </c>
      <c r="AU12" s="102"/>
      <c r="AV12" s="101" t="s">
        <v>4</v>
      </c>
      <c r="AW12" s="103"/>
    </row>
    <row r="13" spans="2:49" ht="15.75" customHeight="1" thickTop="1">
      <c r="B13" s="155">
        <f>ROUNDUP((825*$A$2),0)</f>
        <v>91</v>
      </c>
      <c r="C13" s="12"/>
      <c r="E13" s="1"/>
      <c r="F13" s="20"/>
      <c r="G13" s="2"/>
      <c r="H13" s="142"/>
      <c r="I13" s="143"/>
      <c r="J13" s="2"/>
      <c r="K13" s="2"/>
      <c r="L13" s="2"/>
      <c r="M13" s="20"/>
      <c r="N13" s="142"/>
      <c r="O13" s="143"/>
      <c r="P13" s="2"/>
      <c r="Q13" s="2"/>
      <c r="R13" s="2"/>
      <c r="S13" s="3"/>
      <c r="Z13" s="7"/>
      <c r="AB13" s="53">
        <f>ROUNDUP((95*$A$2),0)</f>
        <v>11</v>
      </c>
      <c r="AC13" s="52"/>
      <c r="AF13" s="54"/>
      <c r="AG13" s="97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80"/>
      <c r="AS13" s="80"/>
      <c r="AT13" s="100" t="s">
        <v>76</v>
      </c>
      <c r="AU13" s="102"/>
      <c r="AV13" s="101" t="s">
        <v>61</v>
      </c>
      <c r="AW13" s="103"/>
    </row>
    <row r="14" spans="2:49" ht="6" customHeight="1" thickBot="1">
      <c r="B14" s="157"/>
      <c r="E14" s="5"/>
      <c r="F14" s="35"/>
      <c r="G14" s="28"/>
      <c r="H14" s="144"/>
      <c r="I14" s="145"/>
      <c r="J14" s="28"/>
      <c r="K14" s="28"/>
      <c r="L14" s="28"/>
      <c r="M14" s="30"/>
      <c r="N14" s="144"/>
      <c r="O14" s="145"/>
      <c r="P14" s="33"/>
      <c r="Q14" s="28"/>
      <c r="R14" s="30"/>
      <c r="S14" s="5"/>
      <c r="Z14" s="7"/>
      <c r="AB14" s="158">
        <f>ROUNDUP((1900*$A$2),0)</f>
        <v>209</v>
      </c>
      <c r="AF14" s="54"/>
      <c r="AG14" s="97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80"/>
      <c r="AS14" s="80"/>
      <c r="AT14" s="100" t="s">
        <v>77</v>
      </c>
      <c r="AU14" s="102"/>
      <c r="AV14" s="101" t="s">
        <v>3</v>
      </c>
      <c r="AW14" s="103"/>
    </row>
    <row r="15" spans="2:49" ht="32.25" customHeight="1" thickTop="1">
      <c r="B15" s="157"/>
      <c r="E15" s="5"/>
      <c r="F15" s="31"/>
      <c r="K15" s="6"/>
      <c r="L15" s="7"/>
      <c r="M15" s="23"/>
      <c r="R15" s="38"/>
      <c r="S15" s="39"/>
      <c r="Z15" s="7"/>
      <c r="AB15" s="159"/>
      <c r="AF15" s="54"/>
      <c r="AG15" s="97"/>
      <c r="AH15" s="54"/>
      <c r="AI15" s="54"/>
      <c r="AJ15" s="54"/>
      <c r="AK15" s="54"/>
      <c r="AL15" s="99"/>
      <c r="AM15" s="80"/>
      <c r="AR15" s="99"/>
      <c r="AS15" s="99"/>
      <c r="AT15" s="100" t="s">
        <v>49</v>
      </c>
      <c r="AU15" s="102"/>
      <c r="AV15" s="101" t="s">
        <v>62</v>
      </c>
      <c r="AW15" s="104" t="s">
        <v>88</v>
      </c>
    </row>
    <row r="16" spans="2:49" ht="18" thickBot="1">
      <c r="B16" s="156"/>
      <c r="C16" s="51"/>
      <c r="E16" s="5"/>
      <c r="F16" s="31"/>
      <c r="K16" s="7"/>
      <c r="L16" s="7"/>
      <c r="M16" s="24"/>
      <c r="R16" s="43"/>
      <c r="S16" s="42"/>
      <c r="Z16" s="7"/>
      <c r="AB16" s="157">
        <f>ROUNDUP((800*$A$2),0)</f>
        <v>88</v>
      </c>
      <c r="AC16" s="9"/>
      <c r="AF16" s="54"/>
      <c r="AG16" s="96" t="s">
        <v>112</v>
      </c>
      <c r="AH16" s="54" t="s">
        <v>126</v>
      </c>
      <c r="AI16" s="54"/>
      <c r="AJ16" s="54"/>
      <c r="AK16" s="54"/>
      <c r="AL16" s="54"/>
      <c r="AM16" s="54"/>
      <c r="AN16" s="54"/>
      <c r="AO16" s="54"/>
      <c r="AP16" s="54"/>
      <c r="AQ16" s="54"/>
      <c r="AR16" s="80"/>
      <c r="AS16" s="80"/>
      <c r="AT16" s="100" t="s">
        <v>78</v>
      </c>
      <c r="AU16" s="102"/>
      <c r="AV16" s="101" t="s">
        <v>52</v>
      </c>
      <c r="AW16" s="104" t="s">
        <v>20</v>
      </c>
    </row>
    <row r="17" spans="2:49" ht="15.75" thickBot="1" thickTop="1">
      <c r="B17" s="158">
        <f>ROUNDUP((640*$A$2),0)</f>
        <v>71</v>
      </c>
      <c r="E17" s="38"/>
      <c r="F17" s="39"/>
      <c r="K17" s="7"/>
      <c r="L17" s="7"/>
      <c r="M17" s="22"/>
      <c r="R17" s="40"/>
      <c r="S17" s="41"/>
      <c r="T17" s="69"/>
      <c r="Z17" s="7"/>
      <c r="AB17" s="156"/>
      <c r="AC17" s="51"/>
      <c r="AF17" s="54"/>
      <c r="AG17" s="97"/>
      <c r="AH17" s="54"/>
      <c r="AI17" s="54"/>
      <c r="AJ17" s="54"/>
      <c r="AK17" s="82" t="s">
        <v>92</v>
      </c>
      <c r="AL17" s="54"/>
      <c r="AM17" s="197" t="s">
        <v>88</v>
      </c>
      <c r="AN17" s="198"/>
      <c r="AO17" s="198"/>
      <c r="AP17" s="198"/>
      <c r="AQ17" s="199"/>
      <c r="AR17" s="80"/>
      <c r="AS17" s="80"/>
      <c r="AT17" s="100" t="s">
        <v>40</v>
      </c>
      <c r="AU17" s="102"/>
      <c r="AV17" s="101" t="s">
        <v>5</v>
      </c>
      <c r="AW17" s="104" t="s">
        <v>59</v>
      </c>
    </row>
    <row r="18" spans="2:49" ht="15" thickTop="1">
      <c r="B18" s="159"/>
      <c r="E18" s="43"/>
      <c r="F18" s="42"/>
      <c r="I18" s="4" t="s">
        <v>4</v>
      </c>
      <c r="K18" s="189">
        <f>ROUNDUP((332.5*$A$2),0)</f>
        <v>37</v>
      </c>
      <c r="L18" s="7"/>
      <c r="M18" s="22"/>
      <c r="R18" s="31"/>
      <c r="S18" s="5"/>
      <c r="Z18" s="7"/>
      <c r="AB18" s="168">
        <f>ROUNDUP((325*$A$2),0)</f>
        <v>36</v>
      </c>
      <c r="AF18" s="54"/>
      <c r="AG18" s="97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80"/>
      <c r="AS18" s="80"/>
      <c r="AT18" s="100" t="s">
        <v>79</v>
      </c>
      <c r="AU18" s="102"/>
      <c r="AV18" s="101" t="s">
        <v>0</v>
      </c>
      <c r="AW18" s="104" t="s">
        <v>53</v>
      </c>
    </row>
    <row r="19" spans="2:49" ht="15" thickBot="1">
      <c r="B19" s="160">
        <f>ROUNDUP((740*$A$2),0)</f>
        <v>82</v>
      </c>
      <c r="E19" s="43"/>
      <c r="F19" s="42"/>
      <c r="K19" s="189"/>
      <c r="L19" s="7"/>
      <c r="M19" s="22"/>
      <c r="P19" s="4" t="s">
        <v>2</v>
      </c>
      <c r="R19" s="31"/>
      <c r="S19" s="5"/>
      <c r="AB19" s="169"/>
      <c r="AC19" s="51"/>
      <c r="AF19" s="54"/>
      <c r="AG19" s="105"/>
      <c r="AH19" s="80"/>
      <c r="AI19" s="80"/>
      <c r="AJ19" s="80"/>
      <c r="AK19" s="80"/>
      <c r="AL19" s="80"/>
      <c r="AM19" s="80"/>
      <c r="AR19" s="80"/>
      <c r="AS19" s="80"/>
      <c r="AT19" s="100" t="s">
        <v>80</v>
      </c>
      <c r="AU19" s="102"/>
      <c r="AV19" s="101" t="s">
        <v>6</v>
      </c>
      <c r="AW19" s="104" t="s">
        <v>55</v>
      </c>
    </row>
    <row r="20" spans="2:49" ht="15.75" thickBot="1" thickTop="1">
      <c r="B20" s="161"/>
      <c r="C20" s="51"/>
      <c r="E20" s="40"/>
      <c r="F20" s="41"/>
      <c r="G20" s="119"/>
      <c r="H20" s="51"/>
      <c r="I20" s="120">
        <f>ROUNDUP((392.5*$A$2),0)</f>
        <v>44</v>
      </c>
      <c r="J20" s="51"/>
      <c r="K20" s="190"/>
      <c r="L20" s="11"/>
      <c r="M20" s="22"/>
      <c r="R20" s="31"/>
      <c r="S20" s="18"/>
      <c r="T20" s="20"/>
      <c r="U20" s="20"/>
      <c r="V20" s="142"/>
      <c r="W20" s="143"/>
      <c r="X20" s="2"/>
      <c r="Y20" s="2"/>
      <c r="Z20" s="3"/>
      <c r="AB20" s="168">
        <f>ROUNDUP((5425*$A$2),0)</f>
        <v>597</v>
      </c>
      <c r="AC20" s="12"/>
      <c r="AF20" s="54"/>
      <c r="AG20" s="96" t="s">
        <v>113</v>
      </c>
      <c r="AH20" s="54" t="s">
        <v>114</v>
      </c>
      <c r="AI20" s="54"/>
      <c r="AJ20" s="54"/>
      <c r="AK20" s="54"/>
      <c r="AL20" s="54"/>
      <c r="AM20" s="54"/>
      <c r="AN20" s="54"/>
      <c r="AO20" s="54"/>
      <c r="AP20" s="54"/>
      <c r="AQ20" s="54"/>
      <c r="AR20" s="80"/>
      <c r="AS20" s="80"/>
      <c r="AT20" s="100" t="s">
        <v>81</v>
      </c>
      <c r="AU20" s="102"/>
      <c r="AV20" s="230" t="s">
        <v>88</v>
      </c>
      <c r="AW20" s="104" t="s">
        <v>54</v>
      </c>
    </row>
    <row r="21" spans="2:49" ht="6" customHeight="1" thickBot="1" thickTop="1">
      <c r="B21" s="155">
        <f>ROUNDUP((1325*$A$2),0)</f>
        <v>146</v>
      </c>
      <c r="E21" s="5"/>
      <c r="F21" s="31"/>
      <c r="G21" s="9"/>
      <c r="H21" s="9"/>
      <c r="J21" s="9"/>
      <c r="K21" s="7"/>
      <c r="L21" s="7"/>
      <c r="M21" s="25"/>
      <c r="N21" s="9"/>
      <c r="R21" s="34"/>
      <c r="S21" s="28"/>
      <c r="T21" s="28"/>
      <c r="U21" s="28"/>
      <c r="V21" s="144"/>
      <c r="W21" s="145"/>
      <c r="X21" s="28"/>
      <c r="Y21" s="30"/>
      <c r="Z21" s="5"/>
      <c r="AB21" s="180"/>
      <c r="AF21" s="54"/>
      <c r="AG21" s="97"/>
      <c r="AH21" s="176" t="s">
        <v>115</v>
      </c>
      <c r="AI21" s="176"/>
      <c r="AJ21" s="176"/>
      <c r="AK21" s="176"/>
      <c r="AL21" s="54"/>
      <c r="AM21" s="200" t="s">
        <v>88</v>
      </c>
      <c r="AN21" s="201"/>
      <c r="AO21" s="201"/>
      <c r="AP21" s="201"/>
      <c r="AQ21" s="202"/>
      <c r="AR21" s="206" t="s">
        <v>116</v>
      </c>
      <c r="AS21" s="80"/>
      <c r="AT21" s="100" t="s">
        <v>82</v>
      </c>
      <c r="AU21" s="102"/>
      <c r="AV21" s="231">
        <v>0.001</v>
      </c>
      <c r="AW21" s="104" t="s">
        <v>57</v>
      </c>
    </row>
    <row r="22" spans="2:49" ht="15" thickTop="1">
      <c r="B22" s="157"/>
      <c r="E22" s="5"/>
      <c r="F22" s="31"/>
      <c r="K22" s="7"/>
      <c r="L22" s="7"/>
      <c r="M22" s="22"/>
      <c r="R22" s="22"/>
      <c r="S22" s="10"/>
      <c r="T22" s="9"/>
      <c r="U22" s="9"/>
      <c r="V22" s="71" t="s">
        <v>44</v>
      </c>
      <c r="X22" s="9"/>
      <c r="Y22" s="31"/>
      <c r="Z22" s="5"/>
      <c r="AB22" s="180"/>
      <c r="AF22" s="54"/>
      <c r="AG22" s="97"/>
      <c r="AH22" s="176"/>
      <c r="AI22" s="176"/>
      <c r="AJ22" s="176"/>
      <c r="AK22" s="176"/>
      <c r="AL22" s="54"/>
      <c r="AM22" s="203"/>
      <c r="AN22" s="204"/>
      <c r="AO22" s="204"/>
      <c r="AP22" s="204"/>
      <c r="AQ22" s="205"/>
      <c r="AR22" s="206"/>
      <c r="AS22" s="80"/>
      <c r="AT22" s="93" t="s">
        <v>88</v>
      </c>
      <c r="AU22" s="102"/>
      <c r="AV22" s="231">
        <v>0.006</v>
      </c>
      <c r="AW22" s="104" t="s">
        <v>58</v>
      </c>
    </row>
    <row r="23" spans="2:49" ht="14.25">
      <c r="B23" s="157"/>
      <c r="E23" s="5"/>
      <c r="F23" s="31"/>
      <c r="K23" s="7"/>
      <c r="L23" s="7"/>
      <c r="M23" s="22"/>
      <c r="R23" s="22"/>
      <c r="S23" s="10"/>
      <c r="Y23" s="31"/>
      <c r="Z23" s="5"/>
      <c r="AB23" s="180"/>
      <c r="AF23" s="54"/>
      <c r="AG23" s="105"/>
      <c r="AH23" s="80"/>
      <c r="AI23" s="80"/>
      <c r="AJ23" s="80"/>
      <c r="AK23" s="80"/>
      <c r="AL23" s="80"/>
      <c r="AM23" s="80"/>
      <c r="AR23" s="106"/>
      <c r="AS23" s="80"/>
      <c r="AT23" s="100" t="s">
        <v>84</v>
      </c>
      <c r="AU23" s="102"/>
      <c r="AV23" s="231">
        <v>0.057</v>
      </c>
      <c r="AW23" s="104" t="s">
        <v>56</v>
      </c>
    </row>
    <row r="24" spans="2:49" ht="14.25">
      <c r="B24" s="157"/>
      <c r="E24" s="49"/>
      <c r="F24" s="50"/>
      <c r="G24" s="48">
        <v>36</v>
      </c>
      <c r="K24" s="7"/>
      <c r="L24" s="7"/>
      <c r="M24" s="22"/>
      <c r="R24" s="22"/>
      <c r="S24" s="10"/>
      <c r="Y24" s="31"/>
      <c r="Z24" s="5"/>
      <c r="AB24" s="180"/>
      <c r="AF24" s="54"/>
      <c r="AG24" s="105"/>
      <c r="AH24" s="80"/>
      <c r="AI24" s="80"/>
      <c r="AJ24" s="54"/>
      <c r="AK24" s="82" t="s">
        <v>117</v>
      </c>
      <c r="AL24" s="54"/>
      <c r="AM24" s="197" t="s">
        <v>88</v>
      </c>
      <c r="AN24" s="198"/>
      <c r="AO24" s="198"/>
      <c r="AP24" s="198"/>
      <c r="AQ24" s="199"/>
      <c r="AR24" s="56" t="s">
        <v>118</v>
      </c>
      <c r="AS24" s="80"/>
      <c r="AT24" s="100" t="s">
        <v>66</v>
      </c>
      <c r="AU24" s="102"/>
      <c r="AV24" s="231">
        <v>0.569</v>
      </c>
      <c r="AW24" s="103"/>
    </row>
    <row r="25" spans="2:49" ht="14.25">
      <c r="B25" s="157"/>
      <c r="E25" s="5"/>
      <c r="F25" s="31"/>
      <c r="K25" s="11"/>
      <c r="L25" s="11"/>
      <c r="M25" s="22"/>
      <c r="N25" s="9"/>
      <c r="O25" s="9"/>
      <c r="R25" s="22"/>
      <c r="S25" s="10"/>
      <c r="Y25" s="31"/>
      <c r="Z25" s="5"/>
      <c r="AB25" s="180"/>
      <c r="AF25" s="54"/>
      <c r="AG25" s="105"/>
      <c r="AH25" s="80"/>
      <c r="AI25" s="80"/>
      <c r="AJ25" s="80"/>
      <c r="AK25" s="80"/>
      <c r="AL25" s="80"/>
      <c r="AM25" s="80"/>
      <c r="AR25" s="106"/>
      <c r="AS25" s="80"/>
      <c r="AT25" s="100" t="s">
        <v>67</v>
      </c>
      <c r="AU25" s="102"/>
      <c r="AV25" s="231">
        <v>569</v>
      </c>
      <c r="AW25" s="103"/>
    </row>
    <row r="26" spans="2:49" ht="6" customHeight="1">
      <c r="B26" s="157"/>
      <c r="E26" s="5"/>
      <c r="F26" s="36"/>
      <c r="G26" s="28"/>
      <c r="H26" s="28"/>
      <c r="I26" s="28"/>
      <c r="J26" s="28"/>
      <c r="K26" s="28"/>
      <c r="L26" s="32"/>
      <c r="M26" s="32"/>
      <c r="N26" s="26"/>
      <c r="O26" s="26"/>
      <c r="P26" s="26"/>
      <c r="Q26" s="26"/>
      <c r="R26" s="37"/>
      <c r="S26" s="10"/>
      <c r="Y26" s="31"/>
      <c r="Z26" s="5"/>
      <c r="AB26" s="180"/>
      <c r="AF26" s="54"/>
      <c r="AG26" s="105"/>
      <c r="AH26" s="80"/>
      <c r="AI26" s="80"/>
      <c r="AJ26" s="80"/>
      <c r="AK26" s="80"/>
      <c r="AL26" s="80"/>
      <c r="AM26" s="80"/>
      <c r="AR26" s="106"/>
      <c r="AS26" s="80"/>
      <c r="AT26" s="100" t="s">
        <v>68</v>
      </c>
      <c r="AU26" s="102"/>
      <c r="AV26" s="231">
        <v>5690</v>
      </c>
      <c r="AW26" s="103"/>
    </row>
    <row r="27" spans="2:49" ht="14.25">
      <c r="B27" s="157"/>
      <c r="E27" s="18"/>
      <c r="F27" s="21"/>
      <c r="G27" s="2"/>
      <c r="H27" s="2"/>
      <c r="I27" s="2"/>
      <c r="J27" s="2"/>
      <c r="K27" s="2"/>
      <c r="L27" s="3"/>
      <c r="M27" s="31"/>
      <c r="N27" s="47"/>
      <c r="O27" s="12"/>
      <c r="P27" s="12"/>
      <c r="Q27" s="6"/>
      <c r="R27" s="22"/>
      <c r="S27" s="10"/>
      <c r="Y27" s="32"/>
      <c r="Z27" s="5"/>
      <c r="AB27" s="180"/>
      <c r="AF27" s="54"/>
      <c r="AG27" s="96" t="s">
        <v>119</v>
      </c>
      <c r="AH27" s="54" t="s">
        <v>120</v>
      </c>
      <c r="AI27" s="54"/>
      <c r="AJ27" s="54"/>
      <c r="AK27" s="54"/>
      <c r="AL27" s="54"/>
      <c r="AM27" s="54"/>
      <c r="AN27" s="54"/>
      <c r="AO27" s="54"/>
      <c r="AP27" s="54"/>
      <c r="AQ27" s="54"/>
      <c r="AR27" s="106"/>
      <c r="AS27" s="80"/>
      <c r="AT27" s="100" t="s">
        <v>69</v>
      </c>
      <c r="AU27" s="102"/>
      <c r="AV27" s="231">
        <v>56900</v>
      </c>
      <c r="AW27" s="95">
        <v>1</v>
      </c>
    </row>
    <row r="28" spans="2:49" ht="15" thickBot="1">
      <c r="B28" s="156"/>
      <c r="C28" s="51"/>
      <c r="E28" s="5"/>
      <c r="F28" s="27"/>
      <c r="G28" s="12"/>
      <c r="H28" s="12"/>
      <c r="I28" s="12"/>
      <c r="J28" s="12"/>
      <c r="K28" s="6"/>
      <c r="L28" s="16"/>
      <c r="M28" s="31"/>
      <c r="N28" s="9"/>
      <c r="O28" s="9"/>
      <c r="R28" s="22"/>
      <c r="S28" s="10"/>
      <c r="U28" s="13" t="s">
        <v>0</v>
      </c>
      <c r="V28" s="9"/>
      <c r="W28" s="9"/>
      <c r="Y28" s="32"/>
      <c r="Z28" s="5"/>
      <c r="AB28" s="180"/>
      <c r="AC28" s="9"/>
      <c r="AF28" s="54"/>
      <c r="AG28" s="97"/>
      <c r="AH28" s="54"/>
      <c r="AI28" s="54"/>
      <c r="AJ28" s="54"/>
      <c r="AK28" s="82" t="s">
        <v>121</v>
      </c>
      <c r="AL28" s="54"/>
      <c r="AM28" s="197" t="s">
        <v>88</v>
      </c>
      <c r="AN28" s="198"/>
      <c r="AO28" s="198"/>
      <c r="AP28" s="198"/>
      <c r="AQ28" s="199"/>
      <c r="AR28" s="56" t="s">
        <v>122</v>
      </c>
      <c r="AS28" s="80"/>
      <c r="AT28" s="100" t="s">
        <v>70</v>
      </c>
      <c r="AU28" s="102"/>
      <c r="AV28" s="231">
        <v>569000</v>
      </c>
      <c r="AW28" s="95">
        <v>2</v>
      </c>
    </row>
    <row r="29" spans="2:49" ht="15" thickTop="1">
      <c r="B29" s="153">
        <f>ROUNDUP((1800*$A$2),0)</f>
        <v>198</v>
      </c>
      <c r="E29" s="182" t="s">
        <v>40</v>
      </c>
      <c r="F29" s="9"/>
      <c r="G29" s="9"/>
      <c r="H29" s="9"/>
      <c r="I29" s="9"/>
      <c r="J29" s="9"/>
      <c r="K29" s="7"/>
      <c r="L29" s="16"/>
      <c r="M29" s="31"/>
      <c r="N29" s="9"/>
      <c r="O29" s="9"/>
      <c r="R29" s="22"/>
      <c r="S29" s="10"/>
      <c r="V29" s="9"/>
      <c r="W29" s="9"/>
      <c r="Y29" s="31"/>
      <c r="Z29" s="5"/>
      <c r="AB29" s="180"/>
      <c r="AF29" s="54"/>
      <c r="AG29" s="105"/>
      <c r="AH29" s="80"/>
      <c r="AI29" s="80"/>
      <c r="AJ29" s="80"/>
      <c r="AK29" s="80"/>
      <c r="AL29" s="80"/>
      <c r="AM29" s="80"/>
      <c r="AR29" s="106"/>
      <c r="AS29" s="80"/>
      <c r="AT29" s="100" t="s">
        <v>71</v>
      </c>
      <c r="AU29" s="102"/>
      <c r="AV29" s="94" t="s">
        <v>55</v>
      </c>
      <c r="AW29" s="95">
        <v>3</v>
      </c>
    </row>
    <row r="30" spans="2:49" ht="15" customHeight="1">
      <c r="B30" s="154"/>
      <c r="E30" s="183"/>
      <c r="F30" s="9"/>
      <c r="G30" s="9"/>
      <c r="H30" s="9"/>
      <c r="I30" s="9"/>
      <c r="J30" s="9"/>
      <c r="K30" s="7"/>
      <c r="L30" s="16"/>
      <c r="M30" s="31"/>
      <c r="N30" s="9"/>
      <c r="O30" s="9"/>
      <c r="P30" s="4" t="s">
        <v>1</v>
      </c>
      <c r="R30" s="22"/>
      <c r="S30" s="10"/>
      <c r="V30" s="9"/>
      <c r="W30" s="9"/>
      <c r="Y30" s="31"/>
      <c r="Z30" s="5"/>
      <c r="AB30" s="180"/>
      <c r="AF30" s="54"/>
      <c r="AG30" s="105"/>
      <c r="AH30" s="80"/>
      <c r="AI30" s="80"/>
      <c r="AJ30" s="80"/>
      <c r="AK30" s="80"/>
      <c r="AL30" s="80"/>
      <c r="AM30" s="80"/>
      <c r="AR30" s="106"/>
      <c r="AS30" s="80"/>
      <c r="AT30" s="100" t="s">
        <v>50</v>
      </c>
      <c r="AU30" s="102"/>
      <c r="AV30" s="94" t="s">
        <v>20</v>
      </c>
      <c r="AW30" s="95">
        <v>4</v>
      </c>
    </row>
    <row r="31" spans="2:49" ht="15" customHeight="1">
      <c r="B31" s="154"/>
      <c r="E31" s="183"/>
      <c r="F31" s="9"/>
      <c r="G31" s="9"/>
      <c r="H31" s="9"/>
      <c r="I31" s="9"/>
      <c r="J31" s="9"/>
      <c r="K31" s="7"/>
      <c r="L31" s="16"/>
      <c r="M31" s="31"/>
      <c r="N31" s="9"/>
      <c r="O31" s="9"/>
      <c r="P31" s="4" t="s">
        <v>3</v>
      </c>
      <c r="R31" s="22"/>
      <c r="S31" s="10"/>
      <c r="V31" s="9"/>
      <c r="W31" s="9"/>
      <c r="Y31" s="31"/>
      <c r="Z31" s="5"/>
      <c r="AB31" s="180"/>
      <c r="AF31" s="54"/>
      <c r="AG31" s="96" t="s">
        <v>123</v>
      </c>
      <c r="AH31" s="54" t="s">
        <v>124</v>
      </c>
      <c r="AI31" s="54"/>
      <c r="AJ31" s="54"/>
      <c r="AK31" s="54"/>
      <c r="AL31" s="54"/>
      <c r="AM31" s="54"/>
      <c r="AN31" s="54"/>
      <c r="AO31" s="54"/>
      <c r="AP31" s="54"/>
      <c r="AQ31" s="54"/>
      <c r="AR31" s="106"/>
      <c r="AS31" s="80"/>
      <c r="AT31" s="100" t="s">
        <v>72</v>
      </c>
      <c r="AU31" s="102"/>
      <c r="AV31" s="94" t="s">
        <v>88</v>
      </c>
      <c r="AW31" s="95">
        <v>5</v>
      </c>
    </row>
    <row r="32" spans="2:49" ht="15" customHeight="1">
      <c r="B32" s="154"/>
      <c r="E32" s="183"/>
      <c r="F32" s="9"/>
      <c r="G32" s="9"/>
      <c r="H32" s="9"/>
      <c r="I32" s="19" t="s">
        <v>5</v>
      </c>
      <c r="J32" s="9"/>
      <c r="K32" s="7"/>
      <c r="L32" s="16"/>
      <c r="M32" s="31"/>
      <c r="N32" s="9"/>
      <c r="O32" s="19"/>
      <c r="R32" s="22"/>
      <c r="S32" s="10"/>
      <c r="V32" s="9"/>
      <c r="W32" s="19"/>
      <c r="Y32" s="31"/>
      <c r="Z32" s="5"/>
      <c r="AB32" s="180"/>
      <c r="AF32" s="54"/>
      <c r="AG32" s="97"/>
      <c r="AH32" s="54"/>
      <c r="AI32" s="54"/>
      <c r="AJ32" s="54"/>
      <c r="AK32" s="82" t="s">
        <v>92</v>
      </c>
      <c r="AL32" s="54"/>
      <c r="AM32" s="197" t="s">
        <v>88</v>
      </c>
      <c r="AN32" s="198"/>
      <c r="AO32" s="198"/>
      <c r="AP32" s="198"/>
      <c r="AQ32" s="199"/>
      <c r="AR32" s="56" t="s">
        <v>125</v>
      </c>
      <c r="AS32" s="80"/>
      <c r="AT32" s="107" t="s">
        <v>83</v>
      </c>
      <c r="AU32" s="108"/>
      <c r="AV32" s="108"/>
      <c r="AW32" s="109" t="s">
        <v>88</v>
      </c>
    </row>
    <row r="33" spans="2:43" ht="15.75" customHeight="1" thickBot="1">
      <c r="B33" s="151">
        <f>ROUNDUP((2040*$A$2),0)</f>
        <v>225</v>
      </c>
      <c r="E33" s="183"/>
      <c r="F33" s="9"/>
      <c r="G33" s="9"/>
      <c r="H33" s="9"/>
      <c r="I33" s="9"/>
      <c r="J33" s="9"/>
      <c r="K33" s="7"/>
      <c r="L33" s="16"/>
      <c r="M33" s="31"/>
      <c r="N33" s="9"/>
      <c r="O33" s="9"/>
      <c r="R33" s="22"/>
      <c r="S33" s="14"/>
      <c r="V33" s="9"/>
      <c r="W33" s="9"/>
      <c r="Y33" s="31"/>
      <c r="Z33" s="5"/>
      <c r="AB33" s="180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4"/>
    </row>
    <row r="34" spans="2:28" ht="6" customHeight="1" thickTop="1">
      <c r="B34" s="151"/>
      <c r="E34" s="183"/>
      <c r="F34" s="9"/>
      <c r="G34" s="9"/>
      <c r="H34" s="9"/>
      <c r="J34" s="9"/>
      <c r="K34" s="7"/>
      <c r="L34" s="16"/>
      <c r="M34" s="36"/>
      <c r="N34" s="28"/>
      <c r="O34" s="164"/>
      <c r="P34" s="165"/>
      <c r="Q34" s="28"/>
      <c r="R34" s="28"/>
      <c r="S34" s="28"/>
      <c r="T34" s="28"/>
      <c r="U34" s="28"/>
      <c r="V34" s="164"/>
      <c r="W34" s="165"/>
      <c r="X34" s="28"/>
      <c r="Y34" s="29"/>
      <c r="Z34" s="5"/>
      <c r="AB34" s="180"/>
    </row>
    <row r="35" spans="2:29" ht="15.75" customHeight="1" thickBot="1">
      <c r="B35" s="151"/>
      <c r="E35" s="183"/>
      <c r="F35" s="9"/>
      <c r="G35" s="9"/>
      <c r="H35" s="9"/>
      <c r="I35" s="9"/>
      <c r="J35" s="9"/>
      <c r="K35" s="7"/>
      <c r="L35" s="16"/>
      <c r="M35" s="17"/>
      <c r="N35" s="2"/>
      <c r="O35" s="166"/>
      <c r="P35" s="167"/>
      <c r="Q35" s="2"/>
      <c r="R35" s="17"/>
      <c r="S35" s="2"/>
      <c r="T35" s="2"/>
      <c r="U35" s="2"/>
      <c r="V35" s="166"/>
      <c r="W35" s="167"/>
      <c r="X35" s="2"/>
      <c r="Y35" s="17"/>
      <c r="Z35" s="15"/>
      <c r="AB35" s="169"/>
      <c r="AC35" s="51"/>
    </row>
    <row r="36" spans="2:28" ht="15.75" customHeight="1" thickTop="1">
      <c r="B36" s="151"/>
      <c r="E36" s="183"/>
      <c r="F36" s="9"/>
      <c r="G36" s="9"/>
      <c r="H36" s="9"/>
      <c r="I36" s="9"/>
      <c r="J36" s="9"/>
      <c r="K36" s="7"/>
      <c r="L36" s="5"/>
      <c r="M36" s="9"/>
      <c r="N36" s="9"/>
      <c r="O36" s="9"/>
      <c r="R36" s="9"/>
      <c r="V36" s="9"/>
      <c r="W36" s="9"/>
      <c r="Y36" s="9"/>
      <c r="AB36" s="155">
        <f>ROUNDUP((1025*$A$2),0)</f>
        <v>113</v>
      </c>
    </row>
    <row r="37" spans="2:29" ht="15" customHeight="1" thickBot="1">
      <c r="B37" s="152"/>
      <c r="E37" s="184"/>
      <c r="F37" s="9"/>
      <c r="G37" s="9"/>
      <c r="H37" s="9"/>
      <c r="I37" s="9"/>
      <c r="J37" s="9"/>
      <c r="K37" s="11">
        <v>20</v>
      </c>
      <c r="L37" s="49"/>
      <c r="M37" s="9"/>
      <c r="N37" s="9"/>
      <c r="O37" s="9"/>
      <c r="R37" s="9"/>
      <c r="V37" s="9"/>
      <c r="W37" s="9"/>
      <c r="Y37" s="9"/>
      <c r="AB37" s="157"/>
      <c r="AC37" s="9"/>
    </row>
    <row r="38" spans="2:29" ht="15.75" thickBot="1" thickTop="1">
      <c r="B38" s="155">
        <f>ROUNDUP((225*$A$2),0)</f>
        <v>25</v>
      </c>
      <c r="C38" s="12"/>
      <c r="E38" s="5"/>
      <c r="F38" s="14"/>
      <c r="G38" s="9"/>
      <c r="H38" s="9"/>
      <c r="I38" s="9"/>
      <c r="J38" s="9"/>
      <c r="K38" s="7"/>
      <c r="L38" s="5"/>
      <c r="M38" s="9"/>
      <c r="N38" s="9"/>
      <c r="O38" s="9"/>
      <c r="R38" s="9"/>
      <c r="V38" s="9"/>
      <c r="W38" s="9"/>
      <c r="Y38" s="9"/>
      <c r="AB38" s="157"/>
      <c r="AC38" s="9"/>
    </row>
    <row r="39" spans="2:29" ht="15.75" customHeight="1" thickBot="1" thickTop="1">
      <c r="B39" s="156"/>
      <c r="C39" s="51"/>
      <c r="E39" s="8"/>
      <c r="F39" s="17"/>
      <c r="G39" s="2"/>
      <c r="H39" s="185" t="s">
        <v>41</v>
      </c>
      <c r="I39" s="186"/>
      <c r="J39" s="2"/>
      <c r="K39" s="2"/>
      <c r="L39" s="15"/>
      <c r="M39" s="9"/>
      <c r="R39" s="9"/>
      <c r="Y39" s="9"/>
      <c r="AB39" s="156"/>
      <c r="AC39" s="51"/>
    </row>
    <row r="40" spans="1:25" ht="15" thickTop="1">
      <c r="A40" s="73" t="s">
        <v>20</v>
      </c>
      <c r="M40" s="9"/>
      <c r="R40" s="9"/>
      <c r="Y40" s="9"/>
    </row>
    <row r="41" spans="1:30" ht="14.25">
      <c r="A41" s="73" t="s">
        <v>59</v>
      </c>
      <c r="AC41" s="76" t="s">
        <v>83</v>
      </c>
      <c r="AD41" s="76" t="s">
        <v>63</v>
      </c>
    </row>
    <row r="42" spans="1:30" ht="15" customHeight="1">
      <c r="A42" s="73" t="s">
        <v>53</v>
      </c>
      <c r="E42" s="139">
        <f>ROUNDUP((1025*$A$2),0)</f>
        <v>113</v>
      </c>
      <c r="F42" s="140"/>
      <c r="G42" s="141"/>
      <c r="H42" s="45">
        <f>ROUNDUP((840*$A$2),0)</f>
        <v>93</v>
      </c>
      <c r="I42" s="46">
        <f>ROUNDUP((950*$A$2),0)</f>
        <v>105</v>
      </c>
      <c r="J42" s="139">
        <f>ROUNDUP((3525*$A$2),0)</f>
        <v>388</v>
      </c>
      <c r="K42" s="140"/>
      <c r="L42" s="141"/>
      <c r="M42" s="162">
        <f>ROUNDUP((740*$A$2),0)</f>
        <v>82</v>
      </c>
      <c r="N42" s="163"/>
      <c r="O42" s="45">
        <f>ROUNDUP((1040*$A$2),0)</f>
        <v>115</v>
      </c>
      <c r="P42" s="46">
        <f>ROUNDUP((790*$A$2),0)</f>
        <v>87</v>
      </c>
      <c r="Q42" s="139">
        <f>ROUNDUP((3825*$A$2),0)</f>
        <v>421</v>
      </c>
      <c r="R42" s="140"/>
      <c r="S42" s="140"/>
      <c r="T42" s="140"/>
      <c r="U42" s="141"/>
      <c r="V42" s="45">
        <f>ROUNDUP((900*$A$2),0)</f>
        <v>99</v>
      </c>
      <c r="W42" s="46">
        <f>ROUNDUP((1930*$A$2),0)</f>
        <v>213</v>
      </c>
      <c r="X42" s="139">
        <f>ROUNDUP((1089*$A$2),0)</f>
        <v>120</v>
      </c>
      <c r="Y42" s="140"/>
      <c r="Z42" s="141"/>
      <c r="AC42" s="76" t="s">
        <v>84</v>
      </c>
      <c r="AD42" s="76" t="s">
        <v>2</v>
      </c>
    </row>
    <row r="43" spans="1:30" ht="14.25">
      <c r="A43" s="73" t="s">
        <v>55</v>
      </c>
      <c r="E43" s="10"/>
      <c r="H43" s="10"/>
      <c r="I43" s="7"/>
      <c r="L43" s="7"/>
      <c r="M43" s="10"/>
      <c r="N43" s="7"/>
      <c r="O43" s="10"/>
      <c r="P43" s="7"/>
      <c r="S43" s="9"/>
      <c r="V43" s="10"/>
      <c r="W43" s="7"/>
      <c r="Z43" s="7"/>
      <c r="AC43" s="76" t="s">
        <v>66</v>
      </c>
      <c r="AD43" s="76" t="s">
        <v>60</v>
      </c>
    </row>
    <row r="44" spans="1:30" ht="14.25">
      <c r="A44" s="73" t="s">
        <v>54</v>
      </c>
      <c r="AC44" s="76" t="s">
        <v>67</v>
      </c>
      <c r="AD44" s="76" t="s">
        <v>4</v>
      </c>
    </row>
    <row r="45" spans="1:30" ht="39" customHeight="1">
      <c r="A45" s="73" t="s">
        <v>57</v>
      </c>
      <c r="I45" s="73" t="s">
        <v>55</v>
      </c>
      <c r="J45" s="73">
        <v>1</v>
      </c>
      <c r="N45" s="81"/>
      <c r="O45" s="80"/>
      <c r="P45" s="73"/>
      <c r="Q45" s="73"/>
      <c r="R45" s="73"/>
      <c r="S45" s="73"/>
      <c r="T45" s="73"/>
      <c r="U45" s="80"/>
      <c r="AC45" s="76" t="s">
        <v>68</v>
      </c>
      <c r="AD45" s="76" t="s">
        <v>61</v>
      </c>
    </row>
    <row r="46" spans="1:30" ht="14.25">
      <c r="A46" s="73" t="s">
        <v>58</v>
      </c>
      <c r="I46" s="73" t="s">
        <v>20</v>
      </c>
      <c r="J46" s="73">
        <v>2</v>
      </c>
      <c r="O46" s="54"/>
      <c r="P46" s="73"/>
      <c r="Q46" s="73"/>
      <c r="R46" s="54"/>
      <c r="S46" s="54"/>
      <c r="T46" s="54"/>
      <c r="U46" s="80"/>
      <c r="AC46" s="76" t="s">
        <v>69</v>
      </c>
      <c r="AD46" s="76" t="s">
        <v>3</v>
      </c>
    </row>
    <row r="47" spans="1:30" ht="14.25">
      <c r="A47" s="73" t="s">
        <v>56</v>
      </c>
      <c r="J47" s="73">
        <v>3</v>
      </c>
      <c r="N47" s="54"/>
      <c r="O47" s="82"/>
      <c r="P47" s="73"/>
      <c r="Q47" s="73"/>
      <c r="R47" s="73"/>
      <c r="S47" s="73"/>
      <c r="T47" s="54"/>
      <c r="U47" s="80"/>
      <c r="AC47" s="76" t="s">
        <v>70</v>
      </c>
      <c r="AD47" s="76" t="s">
        <v>62</v>
      </c>
    </row>
    <row r="48" spans="1:30" ht="30">
      <c r="A48" s="74" t="s">
        <v>85</v>
      </c>
      <c r="J48" s="73">
        <v>4</v>
      </c>
      <c r="N48" s="54"/>
      <c r="O48" s="54"/>
      <c r="P48" s="73"/>
      <c r="Q48" s="73"/>
      <c r="R48" s="54"/>
      <c r="S48" s="54"/>
      <c r="T48" s="54"/>
      <c r="U48" s="80"/>
      <c r="AC48" s="76" t="s">
        <v>71</v>
      </c>
      <c r="AD48" s="76" t="s">
        <v>52</v>
      </c>
    </row>
    <row r="49" spans="9:30" ht="21.75" customHeight="1">
      <c r="I49" s="13" t="s">
        <v>64</v>
      </c>
      <c r="J49" s="73">
        <v>5</v>
      </c>
      <c r="N49" s="54"/>
      <c r="O49" s="54"/>
      <c r="P49" s="73"/>
      <c r="Q49" s="73"/>
      <c r="R49" s="54"/>
      <c r="S49" s="54"/>
      <c r="T49" s="54"/>
      <c r="U49" s="80"/>
      <c r="AC49" s="76" t="s">
        <v>50</v>
      </c>
      <c r="AD49" s="76" t="s">
        <v>5</v>
      </c>
    </row>
    <row r="50" spans="1:30" ht="21.75" customHeight="1">
      <c r="A50" s="78"/>
      <c r="I50" s="13" t="s">
        <v>65</v>
      </c>
      <c r="K50" s="121" t="s">
        <v>128</v>
      </c>
      <c r="N50" s="54"/>
      <c r="O50" s="82"/>
      <c r="P50" s="73"/>
      <c r="Q50" s="73"/>
      <c r="R50" s="73"/>
      <c r="S50" s="73"/>
      <c r="T50" s="73"/>
      <c r="U50" s="80"/>
      <c r="AC50" s="76" t="s">
        <v>72</v>
      </c>
      <c r="AD50" s="76" t="s">
        <v>0</v>
      </c>
    </row>
    <row r="51" spans="1:44" ht="25.5" customHeight="1">
      <c r="A51" s="146" t="s">
        <v>21</v>
      </c>
      <c r="B51" s="146"/>
      <c r="C51" s="146"/>
      <c r="D51" s="146"/>
      <c r="E51" s="146" t="s">
        <v>22</v>
      </c>
      <c r="F51" s="146"/>
      <c r="G51" s="146"/>
      <c r="H51" s="146"/>
      <c r="I51" s="146" t="s">
        <v>23</v>
      </c>
      <c r="J51" s="147" t="s">
        <v>24</v>
      </c>
      <c r="K51" s="132" t="s">
        <v>25</v>
      </c>
      <c r="L51" s="137"/>
      <c r="M51" s="133"/>
      <c r="N51" s="132" t="s">
        <v>26</v>
      </c>
      <c r="O51" s="133"/>
      <c r="P51" s="132" t="s">
        <v>27</v>
      </c>
      <c r="Q51" s="137"/>
      <c r="R51" s="117"/>
      <c r="S51" s="137" t="s">
        <v>28</v>
      </c>
      <c r="T51" s="133"/>
      <c r="U51" s="132" t="s">
        <v>39</v>
      </c>
      <c r="V51" s="137"/>
      <c r="W51" s="137"/>
      <c r="X51" s="133"/>
      <c r="AC51" s="76" t="s">
        <v>73</v>
      </c>
      <c r="AD51" s="77" t="s">
        <v>6</v>
      </c>
      <c r="AR51" s="80"/>
    </row>
    <row r="52" spans="1:44" ht="25.5" customHeight="1">
      <c r="A52" s="146"/>
      <c r="B52" s="146"/>
      <c r="C52" s="146"/>
      <c r="D52" s="146"/>
      <c r="E52" s="146"/>
      <c r="F52" s="146"/>
      <c r="G52" s="146"/>
      <c r="H52" s="146"/>
      <c r="I52" s="146"/>
      <c r="J52" s="147"/>
      <c r="K52" s="134" t="s">
        <v>29</v>
      </c>
      <c r="L52" s="135"/>
      <c r="M52" s="136"/>
      <c r="N52" s="134" t="s">
        <v>29</v>
      </c>
      <c r="O52" s="136"/>
      <c r="P52" s="134" t="s">
        <v>29</v>
      </c>
      <c r="Q52" s="135"/>
      <c r="R52" s="118"/>
      <c r="S52" s="135" t="s">
        <v>29</v>
      </c>
      <c r="T52" s="136"/>
      <c r="U52" s="134" t="s">
        <v>48</v>
      </c>
      <c r="V52" s="135"/>
      <c r="W52" s="135"/>
      <c r="X52" s="136"/>
      <c r="AC52" s="76" t="s">
        <v>75</v>
      </c>
      <c r="AR52" s="80"/>
    </row>
    <row r="53" spans="1:44" ht="33.75" customHeight="1">
      <c r="A53" s="129" t="s">
        <v>88</v>
      </c>
      <c r="B53" s="129"/>
      <c r="C53" s="129"/>
      <c r="D53" s="129"/>
      <c r="E53" s="128" t="s">
        <v>88</v>
      </c>
      <c r="F53" s="128"/>
      <c r="G53" s="128"/>
      <c r="H53" s="128"/>
      <c r="I53" s="116" t="s">
        <v>88</v>
      </c>
      <c r="J53" s="116" t="s">
        <v>88</v>
      </c>
      <c r="K53" s="129" t="s">
        <v>88</v>
      </c>
      <c r="L53" s="129"/>
      <c r="M53" s="129"/>
      <c r="N53" s="129" t="s">
        <v>88</v>
      </c>
      <c r="O53" s="129"/>
      <c r="P53" s="129" t="s">
        <v>88</v>
      </c>
      <c r="Q53" s="129"/>
      <c r="R53" s="130" t="s">
        <v>88</v>
      </c>
      <c r="S53" s="131"/>
      <c r="T53" s="131"/>
      <c r="U53" s="138" t="s">
        <v>42</v>
      </c>
      <c r="V53" s="138"/>
      <c r="W53" s="138"/>
      <c r="X53" s="138"/>
      <c r="AC53" s="76" t="s">
        <v>74</v>
      </c>
      <c r="AE53" s="111"/>
      <c r="AF53" s="111"/>
      <c r="AG53" s="111"/>
      <c r="AH53" s="111"/>
      <c r="AI53" s="111"/>
      <c r="AJ53" s="111"/>
      <c r="AK53" s="111"/>
      <c r="AL53" s="111"/>
      <c r="AM53" s="111"/>
      <c r="AN53" s="112"/>
      <c r="AO53" s="112"/>
      <c r="AP53" s="112"/>
      <c r="AQ53" s="124"/>
      <c r="AR53" s="114"/>
    </row>
    <row r="54" spans="1:44" ht="33.75" customHeight="1">
      <c r="A54" s="129" t="s">
        <v>88</v>
      </c>
      <c r="B54" s="129"/>
      <c r="C54" s="129"/>
      <c r="D54" s="129"/>
      <c r="E54" s="128" t="s">
        <v>88</v>
      </c>
      <c r="F54" s="128"/>
      <c r="G54" s="128"/>
      <c r="H54" s="128"/>
      <c r="I54" s="116" t="s">
        <v>88</v>
      </c>
      <c r="J54" s="116" t="s">
        <v>88</v>
      </c>
      <c r="K54" s="129" t="s">
        <v>88</v>
      </c>
      <c r="L54" s="129"/>
      <c r="M54" s="129"/>
      <c r="N54" s="129" t="s">
        <v>88</v>
      </c>
      <c r="O54" s="129"/>
      <c r="P54" s="129" t="s">
        <v>88</v>
      </c>
      <c r="Q54" s="129"/>
      <c r="R54" s="130" t="s">
        <v>88</v>
      </c>
      <c r="S54" s="131"/>
      <c r="T54" s="131"/>
      <c r="U54" s="128" t="s">
        <v>88</v>
      </c>
      <c r="V54" s="128"/>
      <c r="W54" s="128"/>
      <c r="X54" s="128"/>
      <c r="AC54" s="76" t="s">
        <v>76</v>
      </c>
      <c r="AE54" s="111"/>
      <c r="AF54" s="111"/>
      <c r="AG54" s="111"/>
      <c r="AH54" s="111"/>
      <c r="AI54" s="111"/>
      <c r="AJ54" s="111"/>
      <c r="AK54" s="111"/>
      <c r="AL54" s="111"/>
      <c r="AM54" s="111"/>
      <c r="AN54" s="112"/>
      <c r="AO54" s="112"/>
      <c r="AP54" s="112"/>
      <c r="AQ54" s="125"/>
      <c r="AR54" s="80"/>
    </row>
    <row r="55" spans="1:44" ht="33.75" customHeight="1">
      <c r="A55" s="129" t="s">
        <v>88</v>
      </c>
      <c r="B55" s="129"/>
      <c r="C55" s="129"/>
      <c r="D55" s="129"/>
      <c r="E55" s="128" t="s">
        <v>88</v>
      </c>
      <c r="F55" s="128"/>
      <c r="G55" s="128"/>
      <c r="H55" s="128"/>
      <c r="I55" s="116" t="s">
        <v>88</v>
      </c>
      <c r="J55" s="116" t="s">
        <v>88</v>
      </c>
      <c r="K55" s="129" t="s">
        <v>88</v>
      </c>
      <c r="L55" s="129"/>
      <c r="M55" s="129"/>
      <c r="N55" s="129" t="s">
        <v>88</v>
      </c>
      <c r="O55" s="129"/>
      <c r="P55" s="129" t="s">
        <v>88</v>
      </c>
      <c r="Q55" s="129"/>
      <c r="R55" s="130" t="s">
        <v>88</v>
      </c>
      <c r="S55" s="131"/>
      <c r="T55" s="131"/>
      <c r="U55" s="128" t="s">
        <v>88</v>
      </c>
      <c r="V55" s="128"/>
      <c r="W55" s="128"/>
      <c r="X55" s="128"/>
      <c r="AC55" s="76" t="s">
        <v>77</v>
      </c>
      <c r="AE55" s="111"/>
      <c r="AF55" s="111"/>
      <c r="AG55" s="111"/>
      <c r="AH55" s="111"/>
      <c r="AI55" s="111"/>
      <c r="AJ55" s="111"/>
      <c r="AK55" s="111"/>
      <c r="AL55" s="111"/>
      <c r="AM55" s="111"/>
      <c r="AN55" s="112"/>
      <c r="AO55" s="112"/>
      <c r="AP55" s="112"/>
      <c r="AQ55" s="124"/>
      <c r="AR55" s="114"/>
    </row>
    <row r="56" spans="1:44" ht="33.75" customHeight="1">
      <c r="A56" s="129" t="s">
        <v>88</v>
      </c>
      <c r="B56" s="129"/>
      <c r="C56" s="129"/>
      <c r="D56" s="129"/>
      <c r="E56" s="128" t="s">
        <v>88</v>
      </c>
      <c r="F56" s="128"/>
      <c r="G56" s="128"/>
      <c r="H56" s="128"/>
      <c r="I56" s="116" t="s">
        <v>88</v>
      </c>
      <c r="J56" s="116" t="s">
        <v>88</v>
      </c>
      <c r="K56" s="129" t="s">
        <v>88</v>
      </c>
      <c r="L56" s="129"/>
      <c r="M56" s="129"/>
      <c r="N56" s="129" t="s">
        <v>88</v>
      </c>
      <c r="O56" s="129"/>
      <c r="P56" s="129" t="s">
        <v>88</v>
      </c>
      <c r="Q56" s="129"/>
      <c r="R56" s="130" t="s">
        <v>88</v>
      </c>
      <c r="S56" s="131"/>
      <c r="T56" s="131"/>
      <c r="U56" s="128" t="s">
        <v>88</v>
      </c>
      <c r="V56" s="128"/>
      <c r="W56" s="128"/>
      <c r="X56" s="128"/>
      <c r="AC56" s="76" t="s">
        <v>49</v>
      </c>
      <c r="AE56" s="111"/>
      <c r="AF56" s="111"/>
      <c r="AG56" s="111"/>
      <c r="AH56" s="111"/>
      <c r="AI56" s="111"/>
      <c r="AJ56" s="111"/>
      <c r="AK56" s="111"/>
      <c r="AL56" s="111"/>
      <c r="AM56" s="111"/>
      <c r="AN56" s="112"/>
      <c r="AO56" s="112"/>
      <c r="AP56" s="112"/>
      <c r="AQ56" s="125"/>
      <c r="AR56" s="80"/>
    </row>
    <row r="57" spans="1:44" ht="33.75" customHeight="1">
      <c r="A57" s="129" t="s">
        <v>88</v>
      </c>
      <c r="B57" s="129"/>
      <c r="C57" s="129"/>
      <c r="D57" s="129"/>
      <c r="E57" s="128" t="s">
        <v>88</v>
      </c>
      <c r="F57" s="128"/>
      <c r="G57" s="128"/>
      <c r="H57" s="128"/>
      <c r="I57" s="116" t="s">
        <v>88</v>
      </c>
      <c r="J57" s="116" t="s">
        <v>88</v>
      </c>
      <c r="K57" s="129" t="s">
        <v>88</v>
      </c>
      <c r="L57" s="129"/>
      <c r="M57" s="129"/>
      <c r="N57" s="129" t="s">
        <v>88</v>
      </c>
      <c r="O57" s="129"/>
      <c r="P57" s="129" t="s">
        <v>88</v>
      </c>
      <c r="Q57" s="129"/>
      <c r="R57" s="130" t="s">
        <v>88</v>
      </c>
      <c r="S57" s="131"/>
      <c r="T57" s="131"/>
      <c r="U57" s="128" t="s">
        <v>88</v>
      </c>
      <c r="V57" s="128"/>
      <c r="W57" s="128"/>
      <c r="X57" s="128"/>
      <c r="AC57" s="76" t="s">
        <v>78</v>
      </c>
      <c r="AE57" s="111"/>
      <c r="AF57" s="111"/>
      <c r="AG57" s="111"/>
      <c r="AH57" s="111"/>
      <c r="AI57" s="111"/>
      <c r="AJ57" s="111"/>
      <c r="AK57" s="111"/>
      <c r="AL57" s="111"/>
      <c r="AM57" s="111"/>
      <c r="AN57" s="112"/>
      <c r="AO57" s="112"/>
      <c r="AP57" s="112"/>
      <c r="AQ57" s="124"/>
      <c r="AR57" s="114"/>
    </row>
    <row r="58" spans="1:44" ht="33.75" customHeight="1">
      <c r="A58" s="129" t="s">
        <v>88</v>
      </c>
      <c r="B58" s="129"/>
      <c r="C58" s="129"/>
      <c r="D58" s="129"/>
      <c r="E58" s="128" t="s">
        <v>88</v>
      </c>
      <c r="F58" s="128"/>
      <c r="G58" s="128"/>
      <c r="H58" s="128"/>
      <c r="I58" s="116" t="s">
        <v>88</v>
      </c>
      <c r="J58" s="116" t="s">
        <v>88</v>
      </c>
      <c r="K58" s="129" t="s">
        <v>88</v>
      </c>
      <c r="L58" s="129"/>
      <c r="M58" s="129"/>
      <c r="N58" s="129" t="s">
        <v>88</v>
      </c>
      <c r="O58" s="129"/>
      <c r="P58" s="129" t="s">
        <v>88</v>
      </c>
      <c r="Q58" s="129"/>
      <c r="R58" s="130" t="s">
        <v>88</v>
      </c>
      <c r="S58" s="131"/>
      <c r="T58" s="131"/>
      <c r="U58" s="128" t="s">
        <v>88</v>
      </c>
      <c r="V58" s="128"/>
      <c r="W58" s="128"/>
      <c r="X58" s="128"/>
      <c r="AC58" s="76" t="s">
        <v>40</v>
      </c>
      <c r="AE58" s="111"/>
      <c r="AF58" s="111"/>
      <c r="AG58" s="111"/>
      <c r="AH58" s="111"/>
      <c r="AI58" s="111"/>
      <c r="AJ58" s="111"/>
      <c r="AK58" s="111"/>
      <c r="AL58" s="111"/>
      <c r="AM58" s="111"/>
      <c r="AN58" s="112"/>
      <c r="AO58" s="112"/>
      <c r="AP58" s="112"/>
      <c r="AQ58" s="125"/>
      <c r="AR58" s="80"/>
    </row>
    <row r="59" spans="1:44" ht="33.75" customHeight="1">
      <c r="A59" s="129" t="s">
        <v>88</v>
      </c>
      <c r="B59" s="129"/>
      <c r="C59" s="129"/>
      <c r="D59" s="129"/>
      <c r="E59" s="128" t="s">
        <v>88</v>
      </c>
      <c r="F59" s="128"/>
      <c r="G59" s="128"/>
      <c r="H59" s="128"/>
      <c r="I59" s="116" t="s">
        <v>88</v>
      </c>
      <c r="J59" s="116" t="s">
        <v>88</v>
      </c>
      <c r="K59" s="129" t="s">
        <v>88</v>
      </c>
      <c r="L59" s="129"/>
      <c r="M59" s="129"/>
      <c r="N59" s="129" t="s">
        <v>88</v>
      </c>
      <c r="O59" s="129"/>
      <c r="P59" s="129" t="s">
        <v>88</v>
      </c>
      <c r="Q59" s="129"/>
      <c r="R59" s="130" t="s">
        <v>88</v>
      </c>
      <c r="S59" s="131"/>
      <c r="T59" s="131"/>
      <c r="U59" s="128" t="s">
        <v>88</v>
      </c>
      <c r="V59" s="128"/>
      <c r="W59" s="128"/>
      <c r="X59" s="128"/>
      <c r="AC59" s="76" t="s">
        <v>79</v>
      </c>
      <c r="AE59" s="111"/>
      <c r="AF59" s="111"/>
      <c r="AG59" s="111"/>
      <c r="AH59" s="111"/>
      <c r="AI59" s="111"/>
      <c r="AJ59" s="111"/>
      <c r="AK59" s="111"/>
      <c r="AL59" s="111"/>
      <c r="AM59" s="111"/>
      <c r="AN59" s="112"/>
      <c r="AO59" s="112"/>
      <c r="AP59" s="112"/>
      <c r="AQ59" s="124"/>
      <c r="AR59" s="114"/>
    </row>
    <row r="60" spans="1:44" ht="33.75" customHeight="1">
      <c r="A60" s="129" t="s">
        <v>88</v>
      </c>
      <c r="B60" s="129"/>
      <c r="C60" s="129"/>
      <c r="D60" s="129"/>
      <c r="E60" s="128" t="s">
        <v>88</v>
      </c>
      <c r="F60" s="128"/>
      <c r="G60" s="128"/>
      <c r="H60" s="128"/>
      <c r="I60" s="116" t="s">
        <v>88</v>
      </c>
      <c r="J60" s="116" t="s">
        <v>88</v>
      </c>
      <c r="K60" s="129" t="s">
        <v>88</v>
      </c>
      <c r="L60" s="129"/>
      <c r="M60" s="129"/>
      <c r="N60" s="129" t="s">
        <v>88</v>
      </c>
      <c r="O60" s="129"/>
      <c r="P60" s="129" t="s">
        <v>88</v>
      </c>
      <c r="Q60" s="129"/>
      <c r="R60" s="130" t="s">
        <v>88</v>
      </c>
      <c r="S60" s="131"/>
      <c r="T60" s="131"/>
      <c r="U60" s="128" t="s">
        <v>88</v>
      </c>
      <c r="V60" s="128"/>
      <c r="W60" s="128"/>
      <c r="X60" s="128"/>
      <c r="AC60" s="76" t="s">
        <v>80</v>
      </c>
      <c r="AE60" s="111"/>
      <c r="AF60" s="111"/>
      <c r="AG60" s="111"/>
      <c r="AH60" s="111"/>
      <c r="AI60" s="111"/>
      <c r="AJ60" s="111"/>
      <c r="AK60" s="111"/>
      <c r="AL60" s="111"/>
      <c r="AM60" s="111"/>
      <c r="AN60" s="112"/>
      <c r="AO60" s="112"/>
      <c r="AP60" s="112"/>
      <c r="AQ60" s="126"/>
      <c r="AR60" s="73"/>
    </row>
    <row r="61" spans="1:44" ht="33.75" customHeight="1">
      <c r="A61" s="129" t="s">
        <v>88</v>
      </c>
      <c r="B61" s="129"/>
      <c r="C61" s="129"/>
      <c r="D61" s="129"/>
      <c r="E61" s="128" t="s">
        <v>88</v>
      </c>
      <c r="F61" s="128"/>
      <c r="G61" s="128"/>
      <c r="H61" s="128"/>
      <c r="I61" s="116" t="s">
        <v>88</v>
      </c>
      <c r="J61" s="116" t="s">
        <v>88</v>
      </c>
      <c r="K61" s="129" t="s">
        <v>88</v>
      </c>
      <c r="L61" s="129"/>
      <c r="M61" s="129"/>
      <c r="N61" s="129" t="s">
        <v>88</v>
      </c>
      <c r="O61" s="129"/>
      <c r="P61" s="129" t="s">
        <v>88</v>
      </c>
      <c r="Q61" s="129"/>
      <c r="R61" s="130" t="s">
        <v>88</v>
      </c>
      <c r="S61" s="131"/>
      <c r="T61" s="131"/>
      <c r="U61" s="128" t="s">
        <v>88</v>
      </c>
      <c r="V61" s="128"/>
      <c r="W61" s="128"/>
      <c r="X61" s="128"/>
      <c r="AC61" s="76" t="s">
        <v>81</v>
      </c>
      <c r="AE61" s="111"/>
      <c r="AF61" s="111"/>
      <c r="AG61" s="111"/>
      <c r="AH61" s="111"/>
      <c r="AI61" s="111"/>
      <c r="AJ61" s="111"/>
      <c r="AK61" s="111"/>
      <c r="AL61" s="111"/>
      <c r="AM61" s="111"/>
      <c r="AN61" s="112"/>
      <c r="AO61" s="112"/>
      <c r="AP61" s="112"/>
      <c r="AQ61" s="124"/>
      <c r="AR61" s="114"/>
    </row>
    <row r="62" spans="25:44" s="54" customFormat="1" ht="36.75" customHeight="1">
      <c r="Y62" s="4"/>
      <c r="AC62" s="76" t="s">
        <v>82</v>
      </c>
      <c r="AD62" s="73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27"/>
      <c r="AR62" s="80"/>
    </row>
  </sheetData>
  <sheetProtection password="CC61" sheet="1" objects="1" selectLockedCells="1"/>
  <mergeCells count="130">
    <mergeCell ref="AM24:AQ24"/>
    <mergeCell ref="AM28:AQ28"/>
    <mergeCell ref="AM32:AQ32"/>
    <mergeCell ref="P53:Q53"/>
    <mergeCell ref="R53:T53"/>
    <mergeCell ref="P54:Q54"/>
    <mergeCell ref="R54:T54"/>
    <mergeCell ref="P51:Q51"/>
    <mergeCell ref="P52:Q52"/>
    <mergeCell ref="X42:Z42"/>
    <mergeCell ref="AT5:AW5"/>
    <mergeCell ref="AM8:AQ8"/>
    <mergeCell ref="AM12:AQ12"/>
    <mergeCell ref="AM17:AQ17"/>
    <mergeCell ref="AH21:AK22"/>
    <mergeCell ref="AM21:AQ22"/>
    <mergeCell ref="AR21:AR22"/>
    <mergeCell ref="P59:Q59"/>
    <mergeCell ref="R59:T59"/>
    <mergeCell ref="K18:K20"/>
    <mergeCell ref="P55:Q55"/>
    <mergeCell ref="R55:T55"/>
    <mergeCell ref="P56:Q56"/>
    <mergeCell ref="R56:T56"/>
    <mergeCell ref="J42:L42"/>
    <mergeCell ref="E29:E37"/>
    <mergeCell ref="H39:I39"/>
    <mergeCell ref="O34:P35"/>
    <mergeCell ref="AB2:AC2"/>
    <mergeCell ref="X3:Z3"/>
    <mergeCell ref="P58:Q58"/>
    <mergeCell ref="R58:T58"/>
    <mergeCell ref="W2:Z2"/>
    <mergeCell ref="AB14:AB15"/>
    <mergeCell ref="AB16:AB17"/>
    <mergeCell ref="V5:AC5"/>
    <mergeCell ref="X10:Z10"/>
    <mergeCell ref="P10:S10"/>
    <mergeCell ref="AB36:AB39"/>
    <mergeCell ref="AB20:AB35"/>
    <mergeCell ref="U51:X51"/>
    <mergeCell ref="T5:T6"/>
    <mergeCell ref="T10:U10"/>
    <mergeCell ref="J10:M10"/>
    <mergeCell ref="AB18:AB19"/>
    <mergeCell ref="G1:AA1"/>
    <mergeCell ref="A1:F1"/>
    <mergeCell ref="B2:Q2"/>
    <mergeCell ref="AB1:AC1"/>
    <mergeCell ref="A5:C5"/>
    <mergeCell ref="A7:B11"/>
    <mergeCell ref="C7:C9"/>
    <mergeCell ref="R2:V2"/>
    <mergeCell ref="B33:B37"/>
    <mergeCell ref="B29:B32"/>
    <mergeCell ref="B38:B39"/>
    <mergeCell ref="E10:G10"/>
    <mergeCell ref="B13:B16"/>
    <mergeCell ref="B17:B18"/>
    <mergeCell ref="B19:B20"/>
    <mergeCell ref="B21:B28"/>
    <mergeCell ref="H13:I14"/>
    <mergeCell ref="V20:W21"/>
    <mergeCell ref="N13:O14"/>
    <mergeCell ref="A51:D52"/>
    <mergeCell ref="E51:H52"/>
    <mergeCell ref="I51:I52"/>
    <mergeCell ref="J51:J52"/>
    <mergeCell ref="K51:M51"/>
    <mergeCell ref="M42:N42"/>
    <mergeCell ref="Q42:U42"/>
    <mergeCell ref="V34:W35"/>
    <mergeCell ref="N51:O51"/>
    <mergeCell ref="U52:X52"/>
    <mergeCell ref="S51:T51"/>
    <mergeCell ref="S52:T52"/>
    <mergeCell ref="U53:X53"/>
    <mergeCell ref="E42:G42"/>
    <mergeCell ref="K52:M52"/>
    <mergeCell ref="N52:O52"/>
    <mergeCell ref="A54:D54"/>
    <mergeCell ref="E54:H54"/>
    <mergeCell ref="K54:M54"/>
    <mergeCell ref="N54:O54"/>
    <mergeCell ref="U54:X54"/>
    <mergeCell ref="A53:D53"/>
    <mergeCell ref="E53:H53"/>
    <mergeCell ref="K53:M53"/>
    <mergeCell ref="N53:O53"/>
    <mergeCell ref="E57:H57"/>
    <mergeCell ref="U56:X56"/>
    <mergeCell ref="A55:D55"/>
    <mergeCell ref="E55:H55"/>
    <mergeCell ref="K55:M55"/>
    <mergeCell ref="N55:O55"/>
    <mergeCell ref="U55:X55"/>
    <mergeCell ref="K58:M58"/>
    <mergeCell ref="N58:O58"/>
    <mergeCell ref="U58:X58"/>
    <mergeCell ref="K57:M57"/>
    <mergeCell ref="N57:O57"/>
    <mergeCell ref="A56:D56"/>
    <mergeCell ref="E56:H56"/>
    <mergeCell ref="K56:M56"/>
    <mergeCell ref="N56:O56"/>
    <mergeCell ref="A57:D57"/>
    <mergeCell ref="A59:D59"/>
    <mergeCell ref="E59:H59"/>
    <mergeCell ref="K59:M59"/>
    <mergeCell ref="N59:O59"/>
    <mergeCell ref="U59:X59"/>
    <mergeCell ref="P57:Q57"/>
    <mergeCell ref="R57:T57"/>
    <mergeCell ref="U57:X57"/>
    <mergeCell ref="A58:D58"/>
    <mergeCell ref="E58:H58"/>
    <mergeCell ref="A60:D60"/>
    <mergeCell ref="E60:H60"/>
    <mergeCell ref="K60:M60"/>
    <mergeCell ref="N60:O60"/>
    <mergeCell ref="U60:X60"/>
    <mergeCell ref="P60:Q60"/>
    <mergeCell ref="R60:T60"/>
    <mergeCell ref="U61:X61"/>
    <mergeCell ref="A61:D61"/>
    <mergeCell ref="E61:H61"/>
    <mergeCell ref="K61:M61"/>
    <mergeCell ref="N61:O61"/>
    <mergeCell ref="P61:Q61"/>
    <mergeCell ref="R61:T61"/>
  </mergeCells>
  <dataValidations count="13">
    <dataValidation type="list" allowBlank="1" showInputMessage="1" showErrorMessage="1" sqref="V5">
      <formula1>$Z$4:$AC$4</formula1>
    </dataValidation>
    <dataValidation type="list" allowBlank="1" showInputMessage="1" showErrorMessage="1" sqref="B2">
      <formula1>$C$3:$E$3</formula1>
    </dataValidation>
    <dataValidation type="list" allowBlank="1" showInputMessage="1" showErrorMessage="1" sqref="G1:AA1">
      <formula1>$B$4:$J$4</formula1>
    </dataValidation>
    <dataValidation type="list" allowBlank="1" showInputMessage="1" showErrorMessage="1" sqref="AM8 AQ53">
      <formula1>$AT$6:$AW$6</formula1>
    </dataValidation>
    <dataValidation type="list" allowBlank="1" showInputMessage="1" showErrorMessage="1" sqref="AQ55 AM12:AQ12">
      <formula1>$AT$7:$AW$7</formula1>
    </dataValidation>
    <dataValidation type="list" allowBlank="1" showInputMessage="1" showErrorMessage="1" sqref="AQ57">
      <formula1>$AT$8:$AW$8</formula1>
    </dataValidation>
    <dataValidation type="list" allowBlank="1" showInputMessage="1" showErrorMessage="1" sqref="J53:J61">
      <formula1>$AW$27:$AW$32</formula1>
    </dataValidation>
    <dataValidation type="list" allowBlank="1" showInputMessage="1" showErrorMessage="1" sqref="I53:I61">
      <formula1>$AV$29:$AV$31</formula1>
    </dataValidation>
    <dataValidation type="list" allowBlank="1" showInputMessage="1" showErrorMessage="1" sqref="E53:H61">
      <formula1>$AV$10:$AV$20</formula1>
    </dataValidation>
    <dataValidation type="list" allowBlank="1" showInputMessage="1" showErrorMessage="1" sqref="A53:D61">
      <formula1>$AW$15:$AW$23</formula1>
    </dataValidation>
    <dataValidation type="list" allowBlank="1" showInputMessage="1" showErrorMessage="1" sqref="U54:X61">
      <formula1>$AT$10:$AT$32</formula1>
    </dataValidation>
    <dataValidation type="list" allowBlank="1" showInputMessage="1" showErrorMessage="1" sqref="AM32:AQ32">
      <formula1>$AV$20:$AV$28</formula1>
    </dataValidation>
    <dataValidation type="list" allowBlank="1" showInputMessage="1" showErrorMessage="1" sqref="AM17:AQ17">
      <formula1>$AT$8:$AV$8</formula1>
    </dataValidation>
  </dataValidations>
  <printOptions/>
  <pageMargins left="0.1968503937007874" right="0.2362204724409449" top="0.2755905511811024" bottom="0.2755905511811024" header="0.31496062992125984" footer="0.31496062992125984"/>
  <pageSetup fitToHeight="1" fitToWidth="1" horizontalDpi="300" verticalDpi="300" orientation="landscape" paperSize="8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5"/>
  <sheetViews>
    <sheetView showGridLines="0" zoomScale="60" zoomScaleNormal="60" zoomScalePageLayoutView="0" workbookViewId="0" topLeftCell="A49">
      <selection activeCell="AK67" sqref="AK67"/>
    </sheetView>
  </sheetViews>
  <sheetFormatPr defaultColWidth="11.421875" defaultRowHeight="15"/>
  <cols>
    <col min="1" max="1" width="11.421875" style="4" customWidth="1"/>
    <col min="2" max="2" width="4.140625" style="4" customWidth="1"/>
    <col min="3" max="4" width="3.00390625" style="4" customWidth="1"/>
    <col min="5" max="5" width="3.140625" style="4" customWidth="1"/>
    <col min="6" max="6" width="1.1484375" style="4" customWidth="1"/>
    <col min="7" max="7" width="11.421875" style="4" customWidth="1"/>
    <col min="8" max="9" width="7.57421875" style="4" customWidth="1"/>
    <col min="10" max="11" width="11.421875" style="4" customWidth="1"/>
    <col min="12" max="12" width="3.140625" style="4" customWidth="1"/>
    <col min="13" max="13" width="1.1484375" style="4" customWidth="1"/>
    <col min="14" max="15" width="7.57421875" style="4" customWidth="1"/>
    <col min="16" max="17" width="11.421875" style="4" customWidth="1"/>
    <col min="18" max="18" width="1.1484375" style="4" customWidth="1"/>
    <col min="19" max="19" width="3.140625" style="4" customWidth="1"/>
    <col min="20" max="20" width="14.8515625" style="4" customWidth="1"/>
    <col min="21" max="21" width="11.421875" style="4" customWidth="1"/>
    <col min="22" max="23" width="7.57421875" style="4" customWidth="1"/>
    <col min="24" max="24" width="11.421875" style="4" customWidth="1"/>
    <col min="25" max="25" width="1.1484375" style="4" customWidth="1"/>
    <col min="26" max="26" width="3.140625" style="4" customWidth="1"/>
    <col min="27" max="27" width="6.7109375" style="4" customWidth="1"/>
    <col min="28" max="28" width="4.140625" style="4" customWidth="1"/>
    <col min="29" max="29" width="3.00390625" style="4" customWidth="1"/>
    <col min="30" max="30" width="2.421875" style="73" customWidth="1"/>
    <col min="31" max="39" width="2.8515625" style="73" customWidth="1"/>
    <col min="40" max="42" width="2.8515625" style="80" customWidth="1"/>
    <col min="43" max="43" width="11.421875" style="80" customWidth="1"/>
    <col min="44" max="16384" width="11.421875" style="4" customWidth="1"/>
  </cols>
  <sheetData>
    <row r="1" spans="1:43" s="54" customFormat="1" ht="21" customHeight="1">
      <c r="A1" s="171" t="s">
        <v>38</v>
      </c>
      <c r="B1" s="171"/>
      <c r="C1" s="171"/>
      <c r="D1" s="171"/>
      <c r="E1" s="171"/>
      <c r="F1" s="171"/>
      <c r="G1" s="170" t="s">
        <v>96</v>
      </c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5"/>
      <c r="AC1" s="175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80"/>
      <c r="AO1" s="80"/>
      <c r="AP1" s="80"/>
      <c r="AQ1" s="80"/>
    </row>
    <row r="2" spans="1:43" s="54" customFormat="1" ht="44.25">
      <c r="A2" s="79">
        <f>'Contrôle P3-1'!A2</f>
        <v>0.11</v>
      </c>
      <c r="B2" s="172" t="s">
        <v>8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4"/>
      <c r="R2" s="148" t="s">
        <v>100</v>
      </c>
      <c r="S2" s="149"/>
      <c r="T2" s="149"/>
      <c r="U2" s="149"/>
      <c r="V2" s="150"/>
      <c r="W2" s="191" t="s">
        <v>101</v>
      </c>
      <c r="X2" s="192"/>
      <c r="Y2" s="192"/>
      <c r="Z2" s="193"/>
      <c r="AA2" s="122">
        <f>ROUNDUP(((AN62+AR67)*20/94)*2,0)/2</f>
        <v>0</v>
      </c>
      <c r="AB2" s="187" t="s">
        <v>87</v>
      </c>
      <c r="AC2" s="188"/>
      <c r="AD2" s="54" t="s">
        <v>98</v>
      </c>
      <c r="AE2" s="73"/>
      <c r="AF2" s="73"/>
      <c r="AG2" s="73"/>
      <c r="AH2" s="73"/>
      <c r="AI2" s="73"/>
      <c r="AJ2" s="73"/>
      <c r="AK2" s="73"/>
      <c r="AL2" s="73"/>
      <c r="AM2" s="73"/>
      <c r="AN2" s="80"/>
      <c r="AO2" s="80"/>
      <c r="AP2" s="80"/>
      <c r="AQ2" s="80"/>
    </row>
    <row r="3" spans="1:43" s="54" customFormat="1" ht="12.75" customHeight="1">
      <c r="A3" s="60" t="s">
        <v>47</v>
      </c>
      <c r="B3" s="55"/>
      <c r="C3" s="63" t="s">
        <v>9</v>
      </c>
      <c r="D3" s="64" t="s">
        <v>8</v>
      </c>
      <c r="E3" s="64" t="s">
        <v>10</v>
      </c>
      <c r="F3" s="65" t="s">
        <v>11</v>
      </c>
      <c r="G3" s="65" t="s">
        <v>7</v>
      </c>
      <c r="H3" s="65" t="s">
        <v>12</v>
      </c>
      <c r="I3" s="65" t="s">
        <v>13</v>
      </c>
      <c r="J3" s="66"/>
      <c r="K3" s="66"/>
      <c r="L3" s="66" t="s">
        <v>14</v>
      </c>
      <c r="M3" s="66" t="s">
        <v>15</v>
      </c>
      <c r="N3" s="66"/>
      <c r="O3" s="66"/>
      <c r="X3" s="176" t="s">
        <v>89</v>
      </c>
      <c r="Y3" s="176"/>
      <c r="Z3" s="176"/>
      <c r="AA3" s="91" t="s">
        <v>99</v>
      </c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80"/>
      <c r="AO3" s="80"/>
      <c r="AP3" s="80"/>
      <c r="AQ3" s="80"/>
    </row>
    <row r="4" spans="2:44" s="83" customFormat="1" ht="12.75" customHeight="1">
      <c r="B4" s="84" t="s">
        <v>93</v>
      </c>
      <c r="C4" s="84" t="s">
        <v>94</v>
      </c>
      <c r="D4" s="84" t="s">
        <v>95</v>
      </c>
      <c r="E4" s="85" t="s">
        <v>96</v>
      </c>
      <c r="F4" s="86"/>
      <c r="G4" s="87"/>
      <c r="H4" s="87"/>
      <c r="I4" s="87"/>
      <c r="J4" s="87"/>
      <c r="AB4" s="88" t="s">
        <v>97</v>
      </c>
      <c r="AE4" s="89"/>
      <c r="AF4" s="90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</row>
    <row r="5" spans="1:49" s="54" customFormat="1" ht="23.25" customHeight="1">
      <c r="A5" s="176" t="s">
        <v>16</v>
      </c>
      <c r="B5" s="176"/>
      <c r="C5" s="176"/>
      <c r="D5" s="61"/>
      <c r="E5" s="61" t="s">
        <v>17</v>
      </c>
      <c r="F5" s="61"/>
      <c r="H5" s="57"/>
      <c r="I5" s="58"/>
      <c r="T5" s="181" t="s">
        <v>33</v>
      </c>
      <c r="U5" s="54" t="s">
        <v>34</v>
      </c>
      <c r="V5" s="179" t="s">
        <v>35</v>
      </c>
      <c r="W5" s="179"/>
      <c r="X5" s="179"/>
      <c r="Y5" s="179"/>
      <c r="Z5" s="179"/>
      <c r="AA5" s="179"/>
      <c r="AB5" s="179"/>
      <c r="AC5" s="179"/>
      <c r="AD5" s="73"/>
      <c r="AE5" s="73"/>
      <c r="AT5" s="194" t="s">
        <v>102</v>
      </c>
      <c r="AU5" s="195"/>
      <c r="AV5" s="195"/>
      <c r="AW5" s="196"/>
    </row>
    <row r="6" spans="1:49" s="54" customFormat="1" ht="23.25" customHeight="1">
      <c r="A6" s="62" t="s">
        <v>19</v>
      </c>
      <c r="B6" s="62" t="s">
        <v>18</v>
      </c>
      <c r="D6" s="59"/>
      <c r="E6" s="54" t="s">
        <v>127</v>
      </c>
      <c r="T6" s="181"/>
      <c r="U6" s="54" t="s">
        <v>36</v>
      </c>
      <c r="X6" s="54" t="s">
        <v>37</v>
      </c>
      <c r="AD6" s="73"/>
      <c r="AE6" s="73"/>
      <c r="AG6" s="81" t="s">
        <v>103</v>
      </c>
      <c r="AR6" s="92" t="s">
        <v>104</v>
      </c>
      <c r="AT6" s="93" t="s">
        <v>105</v>
      </c>
      <c r="AU6" s="94" t="s">
        <v>106</v>
      </c>
      <c r="AV6" s="94" t="s">
        <v>107</v>
      </c>
      <c r="AW6" s="95" t="s">
        <v>88</v>
      </c>
    </row>
    <row r="7" spans="1:49" s="54" customFormat="1" ht="14.25">
      <c r="A7" s="177" t="str">
        <f>IF($A$2&gt;1.25,A6,B6)</f>
        <v>ì</v>
      </c>
      <c r="B7" s="177"/>
      <c r="C7" s="178" t="s">
        <v>20</v>
      </c>
      <c r="D7" s="59"/>
      <c r="K7" s="54" t="s">
        <v>45</v>
      </c>
      <c r="T7" s="70" t="s">
        <v>43</v>
      </c>
      <c r="AB7" s="72" t="s">
        <v>46</v>
      </c>
      <c r="AD7" s="73"/>
      <c r="AE7" s="73"/>
      <c r="AG7" s="96" t="s">
        <v>108</v>
      </c>
      <c r="AH7" s="54" t="s">
        <v>109</v>
      </c>
      <c r="AT7" s="93">
        <v>1628</v>
      </c>
      <c r="AU7" s="94">
        <v>1725</v>
      </c>
      <c r="AV7" s="94">
        <v>1827</v>
      </c>
      <c r="AW7" s="95" t="s">
        <v>88</v>
      </c>
    </row>
    <row r="8" spans="1:49" s="54" customFormat="1" ht="14.25">
      <c r="A8" s="177"/>
      <c r="B8" s="177"/>
      <c r="C8" s="178"/>
      <c r="D8" s="59"/>
      <c r="AD8" s="73"/>
      <c r="AE8" s="73"/>
      <c r="AG8" s="97"/>
      <c r="AK8" s="82" t="s">
        <v>92</v>
      </c>
      <c r="AM8" s="197" t="str">
        <f>'Contrôle P3-1'!AM8:AQ8</f>
        <v>???</v>
      </c>
      <c r="AN8" s="198"/>
      <c r="AO8" s="198"/>
      <c r="AP8" s="198"/>
      <c r="AQ8" s="199"/>
      <c r="AT8" s="93" t="s">
        <v>90</v>
      </c>
      <c r="AU8" s="94" t="s">
        <v>91</v>
      </c>
      <c r="AV8" s="94" t="s">
        <v>88</v>
      </c>
      <c r="AW8" s="95"/>
    </row>
    <row r="9" spans="1:49" ht="14.25">
      <c r="A9" s="177"/>
      <c r="B9" s="177"/>
      <c r="C9" s="178"/>
      <c r="D9" s="44"/>
      <c r="AF9" s="54"/>
      <c r="AG9" s="98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3"/>
      <c r="AU9" s="94"/>
      <c r="AV9" s="94"/>
      <c r="AW9" s="95"/>
    </row>
    <row r="10" spans="1:49" ht="14.25">
      <c r="A10" s="177"/>
      <c r="B10" s="177"/>
      <c r="E10" s="139">
        <f>ROUNDUP((1025*$A$2),0)</f>
        <v>113</v>
      </c>
      <c r="F10" s="140"/>
      <c r="G10" s="141"/>
      <c r="H10" s="45">
        <f>ROUNDUP((840*$A$2),0)</f>
        <v>93</v>
      </c>
      <c r="I10" s="46">
        <f>ROUNDUP((950*$A$2),0)</f>
        <v>105</v>
      </c>
      <c r="J10" s="140">
        <f>ROUNDUP((3525*$A$2),0)</f>
        <v>388</v>
      </c>
      <c r="K10" s="140"/>
      <c r="L10" s="140"/>
      <c r="M10" s="141"/>
      <c r="N10" s="45">
        <f>ROUNDUP((740*$A$2),0)</f>
        <v>82</v>
      </c>
      <c r="O10" s="46">
        <f>ROUNDUP((850*$A$2),0)</f>
        <v>94</v>
      </c>
      <c r="P10" s="140">
        <f>ROUNDUP((3425*$A$2),0)</f>
        <v>377</v>
      </c>
      <c r="Q10" s="140"/>
      <c r="R10" s="140"/>
      <c r="S10" s="141"/>
      <c r="T10" s="139">
        <f>ROUNDUP((2925*$A$2),0)</f>
        <v>322</v>
      </c>
      <c r="U10" s="141"/>
      <c r="V10" s="45">
        <f>ROUNDUP((900*$A$2),0)</f>
        <v>99</v>
      </c>
      <c r="W10" s="46">
        <f>ROUNDUP((930*$A$2),0)</f>
        <v>103</v>
      </c>
      <c r="X10" s="139">
        <f>ROUNDUP((1089*$A$2),0)</f>
        <v>120</v>
      </c>
      <c r="Y10" s="140"/>
      <c r="Z10" s="141"/>
      <c r="AF10" s="54"/>
      <c r="AG10" s="98"/>
      <c r="AH10" s="99"/>
      <c r="AI10" s="99"/>
      <c r="AJ10" s="99"/>
      <c r="AK10" s="99"/>
      <c r="AL10" s="99"/>
      <c r="AM10" s="80"/>
      <c r="AR10" s="99"/>
      <c r="AS10" s="99"/>
      <c r="AT10" s="100" t="s">
        <v>73</v>
      </c>
      <c r="AU10" s="94"/>
      <c r="AV10" s="101" t="s">
        <v>2</v>
      </c>
      <c r="AW10" s="95"/>
    </row>
    <row r="11" spans="1:49" ht="14.25">
      <c r="A11" s="177"/>
      <c r="B11" s="177"/>
      <c r="E11" s="10"/>
      <c r="H11" s="10"/>
      <c r="I11" s="7"/>
      <c r="N11" s="10"/>
      <c r="O11" s="7"/>
      <c r="S11" s="7"/>
      <c r="V11" s="10"/>
      <c r="W11" s="7"/>
      <c r="Z11" s="7"/>
      <c r="AF11" s="54"/>
      <c r="AG11" s="96" t="s">
        <v>110</v>
      </c>
      <c r="AH11" s="54" t="s">
        <v>111</v>
      </c>
      <c r="AI11" s="54"/>
      <c r="AJ11" s="54"/>
      <c r="AK11" s="54"/>
      <c r="AL11" s="54"/>
      <c r="AM11" s="54"/>
      <c r="AN11" s="54"/>
      <c r="AO11" s="54"/>
      <c r="AP11" s="54"/>
      <c r="AQ11" s="54"/>
      <c r="AR11" s="80"/>
      <c r="AS11" s="80"/>
      <c r="AT11" s="100" t="s">
        <v>75</v>
      </c>
      <c r="AU11" s="102"/>
      <c r="AV11" s="101" t="s">
        <v>60</v>
      </c>
      <c r="AW11" s="103"/>
    </row>
    <row r="12" spans="4:49" ht="15.75" thickBot="1">
      <c r="D12" s="67" t="s">
        <v>31</v>
      </c>
      <c r="E12" s="68" t="s">
        <v>32</v>
      </c>
      <c r="Z12" s="7"/>
      <c r="AF12" s="54"/>
      <c r="AG12" s="97"/>
      <c r="AH12" s="54"/>
      <c r="AI12" s="54"/>
      <c r="AJ12" s="54"/>
      <c r="AK12" s="82" t="s">
        <v>92</v>
      </c>
      <c r="AL12" s="54"/>
      <c r="AM12" s="197" t="str">
        <f>'Contrôle P3-1'!AM12:AQ12</f>
        <v>???</v>
      </c>
      <c r="AN12" s="198"/>
      <c r="AO12" s="198"/>
      <c r="AP12" s="198"/>
      <c r="AQ12" s="199"/>
      <c r="AR12" s="80"/>
      <c r="AS12" s="80"/>
      <c r="AT12" s="100" t="s">
        <v>74</v>
      </c>
      <c r="AU12" s="102"/>
      <c r="AV12" s="101" t="s">
        <v>4</v>
      </c>
      <c r="AW12" s="103"/>
    </row>
    <row r="13" spans="2:49" ht="15.75" customHeight="1" thickTop="1">
      <c r="B13" s="155">
        <f>ROUNDUP((825*$A$2),0)</f>
        <v>91</v>
      </c>
      <c r="C13" s="12"/>
      <c r="E13" s="1"/>
      <c r="F13" s="20"/>
      <c r="G13" s="2"/>
      <c r="H13" s="142"/>
      <c r="I13" s="143"/>
      <c r="J13" s="2"/>
      <c r="K13" s="2"/>
      <c r="L13" s="2"/>
      <c r="M13" s="20"/>
      <c r="N13" s="142"/>
      <c r="O13" s="143"/>
      <c r="P13" s="2"/>
      <c r="Q13" s="2"/>
      <c r="R13" s="2"/>
      <c r="S13" s="3"/>
      <c r="Z13" s="7"/>
      <c r="AB13" s="53">
        <f>ROUNDUP((95*$A$2),0)</f>
        <v>11</v>
      </c>
      <c r="AC13" s="52"/>
      <c r="AF13" s="54"/>
      <c r="AG13" s="97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80"/>
      <c r="AS13" s="80"/>
      <c r="AT13" s="100" t="s">
        <v>76</v>
      </c>
      <c r="AU13" s="102"/>
      <c r="AV13" s="101" t="s">
        <v>61</v>
      </c>
      <c r="AW13" s="103"/>
    </row>
    <row r="14" spans="2:49" ht="6" customHeight="1" thickBot="1">
      <c r="B14" s="157"/>
      <c r="E14" s="5"/>
      <c r="F14" s="35"/>
      <c r="G14" s="28"/>
      <c r="H14" s="144"/>
      <c r="I14" s="145"/>
      <c r="J14" s="28"/>
      <c r="K14" s="28"/>
      <c r="L14" s="28"/>
      <c r="M14" s="30"/>
      <c r="N14" s="144"/>
      <c r="O14" s="145"/>
      <c r="P14" s="33"/>
      <c r="Q14" s="28"/>
      <c r="R14" s="30"/>
      <c r="S14" s="5"/>
      <c r="Z14" s="7"/>
      <c r="AB14" s="158">
        <f>ROUNDUP((1900*$A$2),0)</f>
        <v>209</v>
      </c>
      <c r="AF14" s="54"/>
      <c r="AG14" s="97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80"/>
      <c r="AS14" s="80"/>
      <c r="AT14" s="100" t="s">
        <v>77</v>
      </c>
      <c r="AU14" s="102"/>
      <c r="AV14" s="101" t="s">
        <v>3</v>
      </c>
      <c r="AW14" s="103"/>
    </row>
    <row r="15" spans="2:49" ht="32.25" customHeight="1" thickTop="1">
      <c r="B15" s="157"/>
      <c r="E15" s="5"/>
      <c r="F15" s="31"/>
      <c r="K15" s="6"/>
      <c r="L15" s="7"/>
      <c r="M15" s="23"/>
      <c r="R15" s="38"/>
      <c r="S15" s="39"/>
      <c r="Z15" s="7"/>
      <c r="AB15" s="159"/>
      <c r="AF15" s="54"/>
      <c r="AG15" s="97"/>
      <c r="AH15" s="54"/>
      <c r="AI15" s="54"/>
      <c r="AJ15" s="54"/>
      <c r="AK15" s="54"/>
      <c r="AL15" s="99"/>
      <c r="AM15" s="80"/>
      <c r="AR15" s="99"/>
      <c r="AS15" s="99"/>
      <c r="AT15" s="100" t="s">
        <v>49</v>
      </c>
      <c r="AU15" s="102"/>
      <c r="AV15" s="101" t="s">
        <v>62</v>
      </c>
      <c r="AW15" s="104" t="s">
        <v>88</v>
      </c>
    </row>
    <row r="16" spans="2:49" ht="18" thickBot="1">
      <c r="B16" s="156"/>
      <c r="C16" s="51"/>
      <c r="E16" s="5"/>
      <c r="F16" s="31"/>
      <c r="K16" s="7"/>
      <c r="L16" s="7"/>
      <c r="M16" s="24"/>
      <c r="R16" s="43"/>
      <c r="S16" s="42"/>
      <c r="Z16" s="7"/>
      <c r="AB16" s="157">
        <f>ROUNDUP((800*$A$2),0)</f>
        <v>88</v>
      </c>
      <c r="AC16" s="9"/>
      <c r="AF16" s="54"/>
      <c r="AG16" s="96" t="s">
        <v>112</v>
      </c>
      <c r="AH16" s="54" t="s">
        <v>126</v>
      </c>
      <c r="AI16" s="54"/>
      <c r="AJ16" s="54"/>
      <c r="AK16" s="54"/>
      <c r="AL16" s="54"/>
      <c r="AM16" s="54"/>
      <c r="AN16" s="54"/>
      <c r="AO16" s="54"/>
      <c r="AP16" s="54"/>
      <c r="AQ16" s="54"/>
      <c r="AR16" s="80"/>
      <c r="AS16" s="80"/>
      <c r="AT16" s="100" t="s">
        <v>78</v>
      </c>
      <c r="AU16" s="102"/>
      <c r="AV16" s="101" t="s">
        <v>52</v>
      </c>
      <c r="AW16" s="104" t="s">
        <v>20</v>
      </c>
    </row>
    <row r="17" spans="2:49" ht="15.75" thickBot="1" thickTop="1">
      <c r="B17" s="158">
        <f>ROUNDUP((640*$A$2),0)</f>
        <v>71</v>
      </c>
      <c r="E17" s="38"/>
      <c r="F17" s="39"/>
      <c r="K17" s="7"/>
      <c r="L17" s="7"/>
      <c r="M17" s="22"/>
      <c r="R17" s="40"/>
      <c r="S17" s="41"/>
      <c r="T17" s="69"/>
      <c r="Z17" s="7"/>
      <c r="AB17" s="156"/>
      <c r="AC17" s="51"/>
      <c r="AF17" s="54"/>
      <c r="AG17" s="97"/>
      <c r="AH17" s="54"/>
      <c r="AI17" s="54"/>
      <c r="AJ17" s="54"/>
      <c r="AK17" s="82" t="s">
        <v>92</v>
      </c>
      <c r="AL17" s="54"/>
      <c r="AM17" s="197" t="str">
        <f>'Contrôle P3-1'!AM17:AQ17</f>
        <v>???</v>
      </c>
      <c r="AN17" s="198"/>
      <c r="AO17" s="198"/>
      <c r="AP17" s="198"/>
      <c r="AQ17" s="199"/>
      <c r="AR17" s="80"/>
      <c r="AS17" s="80"/>
      <c r="AT17" s="100" t="s">
        <v>40</v>
      </c>
      <c r="AU17" s="102"/>
      <c r="AV17" s="101" t="s">
        <v>5</v>
      </c>
      <c r="AW17" s="104" t="s">
        <v>59</v>
      </c>
    </row>
    <row r="18" spans="2:49" ht="15" thickTop="1">
      <c r="B18" s="159"/>
      <c r="E18" s="43"/>
      <c r="F18" s="42"/>
      <c r="I18" s="4" t="s">
        <v>4</v>
      </c>
      <c r="K18" s="189">
        <f>ROUNDUP((332.5*$A$2),0)</f>
        <v>37</v>
      </c>
      <c r="L18" s="7"/>
      <c r="M18" s="22"/>
      <c r="R18" s="31"/>
      <c r="S18" s="5"/>
      <c r="Z18" s="7"/>
      <c r="AB18" s="168">
        <f>ROUNDUP((325*$A$2),0)</f>
        <v>36</v>
      </c>
      <c r="AF18" s="54"/>
      <c r="AG18" s="97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80"/>
      <c r="AS18" s="80"/>
      <c r="AT18" s="100" t="s">
        <v>79</v>
      </c>
      <c r="AU18" s="102"/>
      <c r="AV18" s="101" t="s">
        <v>0</v>
      </c>
      <c r="AW18" s="104" t="s">
        <v>53</v>
      </c>
    </row>
    <row r="19" spans="2:49" ht="15" thickBot="1">
      <c r="B19" s="160">
        <f>ROUNDUP((740*$A$2),0)</f>
        <v>82</v>
      </c>
      <c r="E19" s="43"/>
      <c r="F19" s="42"/>
      <c r="K19" s="189"/>
      <c r="L19" s="7"/>
      <c r="M19" s="22"/>
      <c r="P19" s="4" t="s">
        <v>2</v>
      </c>
      <c r="R19" s="31"/>
      <c r="S19" s="5"/>
      <c r="AB19" s="169"/>
      <c r="AC19" s="51"/>
      <c r="AF19" s="54"/>
      <c r="AG19" s="105"/>
      <c r="AH19" s="80"/>
      <c r="AI19" s="80"/>
      <c r="AJ19" s="80"/>
      <c r="AK19" s="80"/>
      <c r="AL19" s="80"/>
      <c r="AM19" s="80"/>
      <c r="AR19" s="80"/>
      <c r="AS19" s="80"/>
      <c r="AT19" s="100" t="s">
        <v>80</v>
      </c>
      <c r="AU19" s="102"/>
      <c r="AV19" s="101" t="s">
        <v>6</v>
      </c>
      <c r="AW19" s="104" t="s">
        <v>55</v>
      </c>
    </row>
    <row r="20" spans="2:49" ht="15.75" thickBot="1" thickTop="1">
      <c r="B20" s="161"/>
      <c r="C20" s="51"/>
      <c r="E20" s="40"/>
      <c r="F20" s="41"/>
      <c r="G20" s="119"/>
      <c r="H20" s="51"/>
      <c r="I20" s="120">
        <f>ROUNDUP((392.5*$A$2),0)</f>
        <v>44</v>
      </c>
      <c r="J20" s="51"/>
      <c r="K20" s="190"/>
      <c r="L20" s="11"/>
      <c r="M20" s="22"/>
      <c r="R20" s="31"/>
      <c r="S20" s="18"/>
      <c r="T20" s="20"/>
      <c r="U20" s="20"/>
      <c r="V20" s="142"/>
      <c r="W20" s="143"/>
      <c r="X20" s="2"/>
      <c r="Y20" s="2"/>
      <c r="Z20" s="3"/>
      <c r="AB20" s="168">
        <f>ROUNDUP((5425*$A$2),0)</f>
        <v>597</v>
      </c>
      <c r="AC20" s="12"/>
      <c r="AF20" s="54"/>
      <c r="AG20" s="96" t="s">
        <v>113</v>
      </c>
      <c r="AH20" s="54" t="s">
        <v>114</v>
      </c>
      <c r="AI20" s="54"/>
      <c r="AJ20" s="54"/>
      <c r="AK20" s="54"/>
      <c r="AL20" s="54"/>
      <c r="AM20" s="54"/>
      <c r="AN20" s="54"/>
      <c r="AO20" s="54"/>
      <c r="AP20" s="54"/>
      <c r="AQ20" s="54"/>
      <c r="AR20" s="80"/>
      <c r="AS20" s="80"/>
      <c r="AT20" s="100" t="s">
        <v>81</v>
      </c>
      <c r="AU20" s="102"/>
      <c r="AV20" s="101" t="s">
        <v>88</v>
      </c>
      <c r="AW20" s="104" t="s">
        <v>54</v>
      </c>
    </row>
    <row r="21" spans="2:49" ht="6" customHeight="1" thickBot="1" thickTop="1">
      <c r="B21" s="155">
        <f>ROUNDUP((1325*$A$2),0)</f>
        <v>146</v>
      </c>
      <c r="E21" s="5"/>
      <c r="F21" s="31"/>
      <c r="G21" s="9"/>
      <c r="H21" s="9"/>
      <c r="J21" s="9"/>
      <c r="K21" s="7"/>
      <c r="L21" s="7"/>
      <c r="M21" s="25"/>
      <c r="N21" s="9"/>
      <c r="R21" s="34"/>
      <c r="S21" s="28"/>
      <c r="T21" s="28"/>
      <c r="U21" s="28"/>
      <c r="V21" s="144"/>
      <c r="W21" s="145"/>
      <c r="X21" s="28"/>
      <c r="Y21" s="30"/>
      <c r="Z21" s="5"/>
      <c r="AB21" s="180"/>
      <c r="AF21" s="54"/>
      <c r="AG21" s="97"/>
      <c r="AH21" s="176" t="s">
        <v>115</v>
      </c>
      <c r="AI21" s="176"/>
      <c r="AJ21" s="176"/>
      <c r="AK21" s="176"/>
      <c r="AL21" s="54"/>
      <c r="AM21" s="200" t="str">
        <f>'Contrôle P3-1'!AM21:AQ22</f>
        <v>???</v>
      </c>
      <c r="AN21" s="201"/>
      <c r="AO21" s="201"/>
      <c r="AP21" s="201"/>
      <c r="AQ21" s="202"/>
      <c r="AR21" s="206" t="s">
        <v>116</v>
      </c>
      <c r="AS21" s="80"/>
      <c r="AT21" s="100" t="s">
        <v>82</v>
      </c>
      <c r="AU21" s="102"/>
      <c r="AV21" s="102"/>
      <c r="AW21" s="104" t="s">
        <v>57</v>
      </c>
    </row>
    <row r="22" spans="2:49" ht="15" thickTop="1">
      <c r="B22" s="157"/>
      <c r="E22" s="5"/>
      <c r="F22" s="31"/>
      <c r="K22" s="7"/>
      <c r="L22" s="7"/>
      <c r="M22" s="22"/>
      <c r="R22" s="22"/>
      <c r="S22" s="10"/>
      <c r="T22" s="9"/>
      <c r="U22" s="9"/>
      <c r="V22" s="71" t="s">
        <v>44</v>
      </c>
      <c r="X22" s="9"/>
      <c r="Y22" s="31"/>
      <c r="Z22" s="5"/>
      <c r="AB22" s="180"/>
      <c r="AF22" s="54"/>
      <c r="AG22" s="97"/>
      <c r="AH22" s="176"/>
      <c r="AI22" s="176"/>
      <c r="AJ22" s="176"/>
      <c r="AK22" s="176"/>
      <c r="AL22" s="54"/>
      <c r="AM22" s="203"/>
      <c r="AN22" s="204"/>
      <c r="AO22" s="204"/>
      <c r="AP22" s="204"/>
      <c r="AQ22" s="205"/>
      <c r="AR22" s="206"/>
      <c r="AS22" s="80"/>
      <c r="AT22" s="93" t="s">
        <v>88</v>
      </c>
      <c r="AU22" s="102"/>
      <c r="AV22" s="102"/>
      <c r="AW22" s="104" t="s">
        <v>58</v>
      </c>
    </row>
    <row r="23" spans="2:49" ht="14.25">
      <c r="B23" s="157"/>
      <c r="E23" s="5"/>
      <c r="F23" s="31"/>
      <c r="K23" s="7"/>
      <c r="L23" s="7"/>
      <c r="M23" s="22"/>
      <c r="R23" s="22"/>
      <c r="S23" s="10"/>
      <c r="Y23" s="31"/>
      <c r="Z23" s="5"/>
      <c r="AB23" s="180"/>
      <c r="AF23" s="54"/>
      <c r="AG23" s="105"/>
      <c r="AH23" s="80"/>
      <c r="AI23" s="80"/>
      <c r="AJ23" s="80"/>
      <c r="AK23" s="80"/>
      <c r="AL23" s="80"/>
      <c r="AM23" s="80"/>
      <c r="AR23" s="106"/>
      <c r="AS23" s="80"/>
      <c r="AT23" s="100" t="s">
        <v>84</v>
      </c>
      <c r="AU23" s="102"/>
      <c r="AV23" s="102"/>
      <c r="AW23" s="104" t="s">
        <v>56</v>
      </c>
    </row>
    <row r="24" spans="2:49" ht="14.25">
      <c r="B24" s="157"/>
      <c r="E24" s="49"/>
      <c r="F24" s="50"/>
      <c r="G24" s="48">
        <v>36</v>
      </c>
      <c r="K24" s="7"/>
      <c r="L24" s="7"/>
      <c r="M24" s="22"/>
      <c r="R24" s="22"/>
      <c r="S24" s="10"/>
      <c r="Y24" s="31"/>
      <c r="Z24" s="5"/>
      <c r="AB24" s="180"/>
      <c r="AF24" s="54"/>
      <c r="AG24" s="105"/>
      <c r="AH24" s="80"/>
      <c r="AI24" s="80"/>
      <c r="AJ24" s="54"/>
      <c r="AK24" s="82" t="s">
        <v>117</v>
      </c>
      <c r="AL24" s="54"/>
      <c r="AM24" s="197" t="str">
        <f>'Contrôle P3-1'!AM24:AQ24</f>
        <v>???</v>
      </c>
      <c r="AN24" s="198"/>
      <c r="AO24" s="198"/>
      <c r="AP24" s="198"/>
      <c r="AQ24" s="199"/>
      <c r="AR24" s="56" t="s">
        <v>118</v>
      </c>
      <c r="AS24" s="80"/>
      <c r="AT24" s="100" t="s">
        <v>66</v>
      </c>
      <c r="AU24" s="102"/>
      <c r="AV24" s="102"/>
      <c r="AW24" s="103"/>
    </row>
    <row r="25" spans="2:49" ht="14.25">
      <c r="B25" s="157"/>
      <c r="E25" s="5"/>
      <c r="F25" s="31"/>
      <c r="K25" s="11"/>
      <c r="L25" s="11"/>
      <c r="M25" s="22"/>
      <c r="N25" s="9"/>
      <c r="O25" s="9"/>
      <c r="R25" s="22"/>
      <c r="S25" s="10"/>
      <c r="Y25" s="31"/>
      <c r="Z25" s="5"/>
      <c r="AB25" s="180"/>
      <c r="AF25" s="54"/>
      <c r="AG25" s="105"/>
      <c r="AH25" s="80"/>
      <c r="AI25" s="80"/>
      <c r="AJ25" s="80"/>
      <c r="AK25" s="80"/>
      <c r="AL25" s="80"/>
      <c r="AM25" s="80"/>
      <c r="AR25" s="106"/>
      <c r="AS25" s="80"/>
      <c r="AT25" s="100" t="s">
        <v>67</v>
      </c>
      <c r="AU25" s="102"/>
      <c r="AV25" s="102"/>
      <c r="AW25" s="103"/>
    </row>
    <row r="26" spans="2:49" ht="6" customHeight="1">
      <c r="B26" s="157"/>
      <c r="E26" s="5"/>
      <c r="F26" s="36"/>
      <c r="G26" s="28"/>
      <c r="H26" s="28"/>
      <c r="I26" s="28"/>
      <c r="J26" s="28"/>
      <c r="K26" s="28"/>
      <c r="L26" s="32"/>
      <c r="M26" s="32"/>
      <c r="N26" s="26"/>
      <c r="O26" s="26"/>
      <c r="P26" s="26"/>
      <c r="Q26" s="26"/>
      <c r="R26" s="37"/>
      <c r="S26" s="10"/>
      <c r="Y26" s="31"/>
      <c r="Z26" s="5"/>
      <c r="AB26" s="180"/>
      <c r="AF26" s="54"/>
      <c r="AG26" s="105"/>
      <c r="AH26" s="80"/>
      <c r="AI26" s="80"/>
      <c r="AJ26" s="80"/>
      <c r="AK26" s="80"/>
      <c r="AL26" s="80"/>
      <c r="AM26" s="80"/>
      <c r="AR26" s="106"/>
      <c r="AS26" s="80"/>
      <c r="AT26" s="100" t="s">
        <v>68</v>
      </c>
      <c r="AU26" s="102"/>
      <c r="AV26" s="102"/>
      <c r="AW26" s="103"/>
    </row>
    <row r="27" spans="2:49" ht="14.25">
      <c r="B27" s="157"/>
      <c r="E27" s="18"/>
      <c r="F27" s="21"/>
      <c r="G27" s="2"/>
      <c r="H27" s="2"/>
      <c r="I27" s="2"/>
      <c r="J27" s="2"/>
      <c r="K27" s="2"/>
      <c r="L27" s="3"/>
      <c r="M27" s="31"/>
      <c r="N27" s="47"/>
      <c r="O27" s="12"/>
      <c r="P27" s="12"/>
      <c r="Q27" s="6"/>
      <c r="R27" s="22"/>
      <c r="S27" s="10"/>
      <c r="Y27" s="32"/>
      <c r="Z27" s="5"/>
      <c r="AB27" s="180"/>
      <c r="AF27" s="54"/>
      <c r="AG27" s="96" t="s">
        <v>119</v>
      </c>
      <c r="AH27" s="54" t="s">
        <v>120</v>
      </c>
      <c r="AI27" s="54"/>
      <c r="AJ27" s="54"/>
      <c r="AK27" s="54"/>
      <c r="AL27" s="54"/>
      <c r="AM27" s="54"/>
      <c r="AN27" s="54"/>
      <c r="AO27" s="54"/>
      <c r="AP27" s="54"/>
      <c r="AQ27" s="54"/>
      <c r="AR27" s="106"/>
      <c r="AS27" s="80"/>
      <c r="AT27" s="100" t="s">
        <v>69</v>
      </c>
      <c r="AU27" s="102"/>
      <c r="AV27" s="102"/>
      <c r="AW27" s="95">
        <v>1</v>
      </c>
    </row>
    <row r="28" spans="2:49" ht="15" thickBot="1">
      <c r="B28" s="156"/>
      <c r="C28" s="51"/>
      <c r="E28" s="5"/>
      <c r="F28" s="27"/>
      <c r="G28" s="12"/>
      <c r="H28" s="12"/>
      <c r="I28" s="12"/>
      <c r="J28" s="12"/>
      <c r="K28" s="6"/>
      <c r="L28" s="16"/>
      <c r="M28" s="31"/>
      <c r="N28" s="9"/>
      <c r="O28" s="9"/>
      <c r="R28" s="22"/>
      <c r="S28" s="10"/>
      <c r="U28" s="13" t="s">
        <v>0</v>
      </c>
      <c r="V28" s="9"/>
      <c r="W28" s="9"/>
      <c r="Y28" s="32"/>
      <c r="Z28" s="5"/>
      <c r="AB28" s="180"/>
      <c r="AC28" s="9"/>
      <c r="AF28" s="54"/>
      <c r="AG28" s="97"/>
      <c r="AH28" s="54"/>
      <c r="AI28" s="54"/>
      <c r="AJ28" s="54"/>
      <c r="AK28" s="82" t="s">
        <v>121</v>
      </c>
      <c r="AL28" s="54"/>
      <c r="AM28" s="197" t="str">
        <f>'Contrôle P3-1'!AM28:AQ28</f>
        <v>???</v>
      </c>
      <c r="AN28" s="198"/>
      <c r="AO28" s="198"/>
      <c r="AP28" s="198"/>
      <c r="AQ28" s="199"/>
      <c r="AR28" s="56" t="s">
        <v>122</v>
      </c>
      <c r="AS28" s="80"/>
      <c r="AT28" s="100" t="s">
        <v>70</v>
      </c>
      <c r="AU28" s="102"/>
      <c r="AV28" s="102"/>
      <c r="AW28" s="95">
        <v>2</v>
      </c>
    </row>
    <row r="29" spans="2:49" ht="15" thickTop="1">
      <c r="B29" s="153">
        <f>ROUNDUP((1800*$A$2),0)</f>
        <v>198</v>
      </c>
      <c r="E29" s="182" t="s">
        <v>40</v>
      </c>
      <c r="F29" s="9"/>
      <c r="G29" s="9"/>
      <c r="H29" s="9"/>
      <c r="I29" s="9"/>
      <c r="J29" s="9"/>
      <c r="K29" s="7"/>
      <c r="L29" s="16"/>
      <c r="M29" s="31"/>
      <c r="N29" s="9"/>
      <c r="O29" s="9"/>
      <c r="R29" s="22"/>
      <c r="S29" s="10"/>
      <c r="V29" s="9"/>
      <c r="W29" s="9"/>
      <c r="Y29" s="31"/>
      <c r="Z29" s="5"/>
      <c r="AB29" s="180"/>
      <c r="AF29" s="54"/>
      <c r="AG29" s="105"/>
      <c r="AH29" s="80"/>
      <c r="AI29" s="80"/>
      <c r="AJ29" s="80"/>
      <c r="AK29" s="80"/>
      <c r="AL29" s="80"/>
      <c r="AM29" s="80"/>
      <c r="AR29" s="106"/>
      <c r="AS29" s="80"/>
      <c r="AT29" s="100" t="s">
        <v>71</v>
      </c>
      <c r="AU29" s="102"/>
      <c r="AV29" s="94" t="s">
        <v>55</v>
      </c>
      <c r="AW29" s="95">
        <v>3</v>
      </c>
    </row>
    <row r="30" spans="2:49" ht="15" customHeight="1">
      <c r="B30" s="154"/>
      <c r="E30" s="183"/>
      <c r="F30" s="9"/>
      <c r="G30" s="9"/>
      <c r="H30" s="9"/>
      <c r="I30" s="9"/>
      <c r="J30" s="9"/>
      <c r="K30" s="7"/>
      <c r="L30" s="16"/>
      <c r="M30" s="31"/>
      <c r="N30" s="9"/>
      <c r="O30" s="9"/>
      <c r="P30" s="4" t="s">
        <v>1</v>
      </c>
      <c r="R30" s="22"/>
      <c r="S30" s="10"/>
      <c r="V30" s="9"/>
      <c r="W30" s="9"/>
      <c r="Y30" s="31"/>
      <c r="Z30" s="5"/>
      <c r="AB30" s="180"/>
      <c r="AF30" s="54"/>
      <c r="AG30" s="105"/>
      <c r="AH30" s="80"/>
      <c r="AI30" s="80"/>
      <c r="AJ30" s="80"/>
      <c r="AK30" s="80"/>
      <c r="AL30" s="80"/>
      <c r="AM30" s="80"/>
      <c r="AR30" s="106"/>
      <c r="AS30" s="80"/>
      <c r="AT30" s="100" t="s">
        <v>50</v>
      </c>
      <c r="AU30" s="102"/>
      <c r="AV30" s="94" t="s">
        <v>20</v>
      </c>
      <c r="AW30" s="95">
        <v>4</v>
      </c>
    </row>
    <row r="31" spans="2:49" ht="15" customHeight="1">
      <c r="B31" s="154"/>
      <c r="E31" s="183"/>
      <c r="F31" s="9"/>
      <c r="G31" s="9"/>
      <c r="H31" s="9"/>
      <c r="I31" s="9"/>
      <c r="J31" s="9"/>
      <c r="K31" s="7"/>
      <c r="L31" s="16"/>
      <c r="M31" s="31"/>
      <c r="N31" s="9"/>
      <c r="O31" s="9"/>
      <c r="P31" s="4" t="s">
        <v>3</v>
      </c>
      <c r="R31" s="22"/>
      <c r="S31" s="10"/>
      <c r="V31" s="9"/>
      <c r="W31" s="9"/>
      <c r="Y31" s="31"/>
      <c r="Z31" s="5"/>
      <c r="AB31" s="180"/>
      <c r="AF31" s="54"/>
      <c r="AG31" s="96" t="s">
        <v>123</v>
      </c>
      <c r="AH31" s="54" t="s">
        <v>124</v>
      </c>
      <c r="AI31" s="54"/>
      <c r="AJ31" s="54"/>
      <c r="AK31" s="54"/>
      <c r="AL31" s="54"/>
      <c r="AM31" s="54"/>
      <c r="AN31" s="54"/>
      <c r="AO31" s="54"/>
      <c r="AP31" s="54"/>
      <c r="AQ31" s="54"/>
      <c r="AR31" s="106"/>
      <c r="AS31" s="80"/>
      <c r="AT31" s="100" t="s">
        <v>72</v>
      </c>
      <c r="AU31" s="102"/>
      <c r="AV31" s="94" t="s">
        <v>88</v>
      </c>
      <c r="AW31" s="95">
        <v>5</v>
      </c>
    </row>
    <row r="32" spans="2:49" ht="15" customHeight="1">
      <c r="B32" s="154"/>
      <c r="E32" s="183"/>
      <c r="F32" s="9"/>
      <c r="G32" s="9"/>
      <c r="H32" s="9"/>
      <c r="I32" s="19" t="s">
        <v>5</v>
      </c>
      <c r="J32" s="9"/>
      <c r="K32" s="7"/>
      <c r="L32" s="16"/>
      <c r="M32" s="31"/>
      <c r="N32" s="9"/>
      <c r="O32" s="19"/>
      <c r="R32" s="22"/>
      <c r="S32" s="10"/>
      <c r="V32" s="9"/>
      <c r="W32" s="19"/>
      <c r="Y32" s="31"/>
      <c r="Z32" s="5"/>
      <c r="AB32" s="180"/>
      <c r="AF32" s="54"/>
      <c r="AG32" s="97"/>
      <c r="AH32" s="54"/>
      <c r="AI32" s="54"/>
      <c r="AJ32" s="54"/>
      <c r="AK32" s="82" t="s">
        <v>92</v>
      </c>
      <c r="AL32" s="54"/>
      <c r="AM32" s="197" t="str">
        <f>'Contrôle P3-1'!AM32:AQ32</f>
        <v>???</v>
      </c>
      <c r="AN32" s="198"/>
      <c r="AO32" s="198"/>
      <c r="AP32" s="198"/>
      <c r="AQ32" s="199"/>
      <c r="AR32" s="56" t="s">
        <v>125</v>
      </c>
      <c r="AS32" s="80"/>
      <c r="AT32" s="107" t="s">
        <v>83</v>
      </c>
      <c r="AU32" s="108"/>
      <c r="AV32" s="108"/>
      <c r="AW32" s="109" t="s">
        <v>88</v>
      </c>
    </row>
    <row r="33" spans="2:43" ht="15.75" customHeight="1" thickBot="1">
      <c r="B33" s="151">
        <f>ROUNDUP((2040*$A$2),0)</f>
        <v>225</v>
      </c>
      <c r="E33" s="183"/>
      <c r="F33" s="9"/>
      <c r="G33" s="9"/>
      <c r="H33" s="9"/>
      <c r="I33" s="9"/>
      <c r="J33" s="9"/>
      <c r="K33" s="7"/>
      <c r="L33" s="16"/>
      <c r="M33" s="31"/>
      <c r="N33" s="9"/>
      <c r="O33" s="9"/>
      <c r="R33" s="22"/>
      <c r="S33" s="14"/>
      <c r="V33" s="9"/>
      <c r="W33" s="9"/>
      <c r="Y33" s="31"/>
      <c r="Z33" s="5"/>
      <c r="AB33" s="180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4"/>
    </row>
    <row r="34" spans="2:28" ht="6" customHeight="1" thickTop="1">
      <c r="B34" s="151"/>
      <c r="E34" s="183"/>
      <c r="F34" s="9"/>
      <c r="G34" s="9"/>
      <c r="H34" s="9"/>
      <c r="J34" s="9"/>
      <c r="K34" s="7"/>
      <c r="L34" s="16"/>
      <c r="M34" s="36"/>
      <c r="N34" s="28"/>
      <c r="O34" s="164"/>
      <c r="P34" s="165"/>
      <c r="Q34" s="28"/>
      <c r="R34" s="28"/>
      <c r="S34" s="28"/>
      <c r="T34" s="28"/>
      <c r="U34" s="28"/>
      <c r="V34" s="164"/>
      <c r="W34" s="165"/>
      <c r="X34" s="28"/>
      <c r="Y34" s="29"/>
      <c r="Z34" s="5"/>
      <c r="AB34" s="180"/>
    </row>
    <row r="35" spans="2:29" ht="15.75" customHeight="1" thickBot="1">
      <c r="B35" s="151"/>
      <c r="E35" s="183"/>
      <c r="F35" s="9"/>
      <c r="G35" s="9"/>
      <c r="H35" s="9"/>
      <c r="I35" s="9"/>
      <c r="J35" s="9"/>
      <c r="K35" s="7"/>
      <c r="L35" s="16"/>
      <c r="M35" s="17"/>
      <c r="N35" s="2"/>
      <c r="O35" s="166"/>
      <c r="P35" s="167"/>
      <c r="Q35" s="2"/>
      <c r="R35" s="17"/>
      <c r="S35" s="2"/>
      <c r="T35" s="2"/>
      <c r="U35" s="2"/>
      <c r="V35" s="166"/>
      <c r="W35" s="167"/>
      <c r="X35" s="2"/>
      <c r="Y35" s="17"/>
      <c r="Z35" s="15"/>
      <c r="AB35" s="169"/>
      <c r="AC35" s="51"/>
    </row>
    <row r="36" spans="2:28" ht="15.75" customHeight="1" thickTop="1">
      <c r="B36" s="151"/>
      <c r="E36" s="183"/>
      <c r="F36" s="9"/>
      <c r="G36" s="9"/>
      <c r="H36" s="9"/>
      <c r="I36" s="9"/>
      <c r="J36" s="9"/>
      <c r="K36" s="7"/>
      <c r="L36" s="5"/>
      <c r="M36" s="9"/>
      <c r="N36" s="9"/>
      <c r="O36" s="9"/>
      <c r="R36" s="9"/>
      <c r="V36" s="9"/>
      <c r="W36" s="9"/>
      <c r="Y36" s="9"/>
      <c r="AB36" s="155">
        <f>ROUNDUP((1025*$A$2),0)</f>
        <v>113</v>
      </c>
    </row>
    <row r="37" spans="2:29" ht="15" customHeight="1" thickBot="1">
      <c r="B37" s="152"/>
      <c r="E37" s="184"/>
      <c r="F37" s="9"/>
      <c r="G37" s="9"/>
      <c r="H37" s="9"/>
      <c r="I37" s="9"/>
      <c r="J37" s="9"/>
      <c r="K37" s="11">
        <v>20</v>
      </c>
      <c r="L37" s="49"/>
      <c r="M37" s="9"/>
      <c r="N37" s="9"/>
      <c r="O37" s="9"/>
      <c r="R37" s="9"/>
      <c r="V37" s="9"/>
      <c r="W37" s="9"/>
      <c r="Y37" s="9"/>
      <c r="AB37" s="157"/>
      <c r="AC37" s="9"/>
    </row>
    <row r="38" spans="2:29" ht="15.75" thickBot="1" thickTop="1">
      <c r="B38" s="155">
        <f>ROUNDUP((225*$A$2),0)</f>
        <v>25</v>
      </c>
      <c r="C38" s="12"/>
      <c r="E38" s="5"/>
      <c r="F38" s="14"/>
      <c r="G38" s="9"/>
      <c r="H38" s="9"/>
      <c r="I38" s="9"/>
      <c r="J38" s="9"/>
      <c r="K38" s="7"/>
      <c r="L38" s="5"/>
      <c r="M38" s="9"/>
      <c r="N38" s="9"/>
      <c r="O38" s="9"/>
      <c r="R38" s="9"/>
      <c r="V38" s="9"/>
      <c r="W38" s="9"/>
      <c r="Y38" s="9"/>
      <c r="AB38" s="157"/>
      <c r="AC38" s="9"/>
    </row>
    <row r="39" spans="2:29" ht="15.75" customHeight="1" thickBot="1" thickTop="1">
      <c r="B39" s="156"/>
      <c r="C39" s="51"/>
      <c r="E39" s="8"/>
      <c r="F39" s="17"/>
      <c r="G39" s="2"/>
      <c r="H39" s="185" t="s">
        <v>41</v>
      </c>
      <c r="I39" s="186"/>
      <c r="J39" s="2"/>
      <c r="K39" s="2"/>
      <c r="L39" s="15"/>
      <c r="M39" s="9"/>
      <c r="R39" s="9"/>
      <c r="Y39" s="9"/>
      <c r="AB39" s="156"/>
      <c r="AC39" s="51"/>
    </row>
    <row r="40" spans="1:25" ht="15" thickTop="1">
      <c r="A40" s="73" t="s">
        <v>20</v>
      </c>
      <c r="M40" s="9"/>
      <c r="R40" s="9"/>
      <c r="Y40" s="9"/>
    </row>
    <row r="41" spans="1:30" ht="14.25">
      <c r="A41" s="73" t="s">
        <v>59</v>
      </c>
      <c r="AC41" s="76" t="s">
        <v>83</v>
      </c>
      <c r="AD41" s="76" t="s">
        <v>63</v>
      </c>
    </row>
    <row r="42" spans="1:30" ht="15" customHeight="1">
      <c r="A42" s="73" t="s">
        <v>53</v>
      </c>
      <c r="E42" s="139">
        <f>ROUNDUP((1025*$A$2),0)</f>
        <v>113</v>
      </c>
      <c r="F42" s="140"/>
      <c r="G42" s="141"/>
      <c r="H42" s="45">
        <f>ROUNDUP((840*$A$2),0)</f>
        <v>93</v>
      </c>
      <c r="I42" s="46">
        <f>ROUNDUP((950*$A$2),0)</f>
        <v>105</v>
      </c>
      <c r="J42" s="139">
        <f>ROUNDUP((3525*$A$2),0)</f>
        <v>388</v>
      </c>
      <c r="K42" s="140"/>
      <c r="L42" s="141"/>
      <c r="M42" s="162">
        <f>ROUNDUP((740*$A$2),0)</f>
        <v>82</v>
      </c>
      <c r="N42" s="163"/>
      <c r="O42" s="45">
        <f>ROUNDUP((1040*$A$2),0)</f>
        <v>115</v>
      </c>
      <c r="P42" s="46">
        <f>ROUNDUP((790*$A$2),0)</f>
        <v>87</v>
      </c>
      <c r="Q42" s="139">
        <f>ROUNDUP((3825*$A$2),0)</f>
        <v>421</v>
      </c>
      <c r="R42" s="140"/>
      <c r="S42" s="140"/>
      <c r="T42" s="140"/>
      <c r="U42" s="141"/>
      <c r="V42" s="45">
        <f>ROUNDUP((900*$A$2),0)</f>
        <v>99</v>
      </c>
      <c r="W42" s="46">
        <f>ROUNDUP((1930*$A$2),0)</f>
        <v>213</v>
      </c>
      <c r="X42" s="139">
        <f>ROUNDUP((1089*$A$2),0)</f>
        <v>120</v>
      </c>
      <c r="Y42" s="140"/>
      <c r="Z42" s="141"/>
      <c r="AC42" s="76" t="s">
        <v>84</v>
      </c>
      <c r="AD42" s="76" t="s">
        <v>2</v>
      </c>
    </row>
    <row r="43" spans="1:30" ht="14.25">
      <c r="A43" s="73" t="s">
        <v>55</v>
      </c>
      <c r="E43" s="10"/>
      <c r="H43" s="10"/>
      <c r="I43" s="7"/>
      <c r="L43" s="7"/>
      <c r="M43" s="10"/>
      <c r="N43" s="7"/>
      <c r="O43" s="10"/>
      <c r="P43" s="7"/>
      <c r="S43" s="9"/>
      <c r="V43" s="10"/>
      <c r="W43" s="7"/>
      <c r="Z43" s="7"/>
      <c r="AC43" s="76" t="s">
        <v>66</v>
      </c>
      <c r="AD43" s="76" t="s">
        <v>60</v>
      </c>
    </row>
    <row r="44" spans="1:30" ht="14.25">
      <c r="A44" s="73" t="s">
        <v>54</v>
      </c>
      <c r="AC44" s="76" t="s">
        <v>67</v>
      </c>
      <c r="AD44" s="76" t="s">
        <v>4</v>
      </c>
    </row>
    <row r="45" spans="1:30" ht="39" customHeight="1">
      <c r="A45" s="73" t="s">
        <v>57</v>
      </c>
      <c r="I45" s="73" t="s">
        <v>55</v>
      </c>
      <c r="J45" s="73">
        <v>1</v>
      </c>
      <c r="N45" s="81"/>
      <c r="O45" s="80"/>
      <c r="P45" s="73"/>
      <c r="Q45" s="73"/>
      <c r="R45" s="73"/>
      <c r="S45" s="73"/>
      <c r="T45" s="73"/>
      <c r="U45" s="80"/>
      <c r="AC45" s="76" t="s">
        <v>68</v>
      </c>
      <c r="AD45" s="76" t="s">
        <v>61</v>
      </c>
    </row>
    <row r="46" spans="1:30" ht="14.25">
      <c r="A46" s="73" t="s">
        <v>58</v>
      </c>
      <c r="I46" s="73" t="s">
        <v>20</v>
      </c>
      <c r="J46" s="73">
        <v>2</v>
      </c>
      <c r="O46" s="54"/>
      <c r="P46" s="73"/>
      <c r="Q46" s="73"/>
      <c r="R46" s="54"/>
      <c r="S46" s="54"/>
      <c r="T46" s="54"/>
      <c r="U46" s="80"/>
      <c r="AC46" s="76" t="s">
        <v>69</v>
      </c>
      <c r="AD46" s="76" t="s">
        <v>3</v>
      </c>
    </row>
    <row r="47" spans="1:30" ht="14.25">
      <c r="A47" s="73" t="s">
        <v>56</v>
      </c>
      <c r="J47" s="73">
        <v>3</v>
      </c>
      <c r="N47" s="54"/>
      <c r="O47" s="82"/>
      <c r="P47" s="73"/>
      <c r="Q47" s="73"/>
      <c r="R47" s="73"/>
      <c r="S47" s="73"/>
      <c r="T47" s="54"/>
      <c r="U47" s="80"/>
      <c r="AC47" s="76" t="s">
        <v>70</v>
      </c>
      <c r="AD47" s="76" t="s">
        <v>62</v>
      </c>
    </row>
    <row r="48" spans="1:30" ht="30">
      <c r="A48" s="74" t="s">
        <v>85</v>
      </c>
      <c r="J48" s="73">
        <v>4</v>
      </c>
      <c r="N48" s="54"/>
      <c r="O48" s="54"/>
      <c r="P48" s="73"/>
      <c r="Q48" s="73"/>
      <c r="R48" s="54"/>
      <c r="S48" s="54"/>
      <c r="T48" s="54"/>
      <c r="U48" s="80"/>
      <c r="AC48" s="76" t="s">
        <v>71</v>
      </c>
      <c r="AD48" s="76" t="s">
        <v>52</v>
      </c>
    </row>
    <row r="49" spans="9:30" ht="21.75" customHeight="1">
      <c r="I49" s="13" t="s">
        <v>64</v>
      </c>
      <c r="J49" s="73">
        <v>5</v>
      </c>
      <c r="N49" s="54"/>
      <c r="O49" s="54"/>
      <c r="P49" s="73"/>
      <c r="Q49" s="73"/>
      <c r="R49" s="54"/>
      <c r="S49" s="54"/>
      <c r="T49" s="54"/>
      <c r="U49" s="80"/>
      <c r="AC49" s="76" t="s">
        <v>50</v>
      </c>
      <c r="AD49" s="76" t="s">
        <v>5</v>
      </c>
    </row>
    <row r="50" spans="1:30" ht="21.75" customHeight="1">
      <c r="A50" s="78"/>
      <c r="I50" s="13" t="s">
        <v>65</v>
      </c>
      <c r="K50" s="121" t="s">
        <v>128</v>
      </c>
      <c r="N50" s="54"/>
      <c r="O50" s="82"/>
      <c r="P50" s="73"/>
      <c r="Q50" s="73"/>
      <c r="R50" s="73"/>
      <c r="S50" s="73"/>
      <c r="T50" s="73"/>
      <c r="U50" s="80"/>
      <c r="AC50" s="76" t="s">
        <v>72</v>
      </c>
      <c r="AD50" s="76" t="s">
        <v>0</v>
      </c>
    </row>
    <row r="51" spans="1:44" ht="25.5" customHeight="1">
      <c r="A51" s="146" t="s">
        <v>21</v>
      </c>
      <c r="B51" s="146"/>
      <c r="C51" s="146"/>
      <c r="D51" s="146"/>
      <c r="E51" s="146" t="s">
        <v>22</v>
      </c>
      <c r="F51" s="146"/>
      <c r="G51" s="146"/>
      <c r="H51" s="146"/>
      <c r="I51" s="146" t="s">
        <v>23</v>
      </c>
      <c r="J51" s="147" t="s">
        <v>24</v>
      </c>
      <c r="K51" s="132" t="s">
        <v>25</v>
      </c>
      <c r="L51" s="137"/>
      <c r="M51" s="133"/>
      <c r="N51" s="132" t="s">
        <v>26</v>
      </c>
      <c r="O51" s="133"/>
      <c r="P51" s="132" t="s">
        <v>27</v>
      </c>
      <c r="Q51" s="137"/>
      <c r="R51" s="117"/>
      <c r="S51" s="137" t="s">
        <v>28</v>
      </c>
      <c r="T51" s="133"/>
      <c r="U51" s="132" t="s">
        <v>39</v>
      </c>
      <c r="V51" s="137"/>
      <c r="W51" s="137"/>
      <c r="X51" s="133"/>
      <c r="Y51" s="224" t="s">
        <v>30</v>
      </c>
      <c r="Z51" s="225"/>
      <c r="AA51" s="225"/>
      <c r="AB51" s="226"/>
      <c r="AC51" s="76" t="s">
        <v>73</v>
      </c>
      <c r="AD51" s="77" t="s">
        <v>6</v>
      </c>
      <c r="AR51" s="80"/>
    </row>
    <row r="52" spans="1:44" ht="25.5" customHeight="1">
      <c r="A52" s="146"/>
      <c r="B52" s="146"/>
      <c r="C52" s="146"/>
      <c r="D52" s="146"/>
      <c r="E52" s="146"/>
      <c r="F52" s="146"/>
      <c r="G52" s="146"/>
      <c r="H52" s="146"/>
      <c r="I52" s="146"/>
      <c r="J52" s="147"/>
      <c r="K52" s="134" t="s">
        <v>29</v>
      </c>
      <c r="L52" s="135"/>
      <c r="M52" s="136"/>
      <c r="N52" s="134" t="s">
        <v>29</v>
      </c>
      <c r="O52" s="136"/>
      <c r="P52" s="134" t="s">
        <v>29</v>
      </c>
      <c r="Q52" s="135"/>
      <c r="R52" s="118"/>
      <c r="S52" s="135" t="s">
        <v>29</v>
      </c>
      <c r="T52" s="136"/>
      <c r="U52" s="134" t="s">
        <v>48</v>
      </c>
      <c r="V52" s="135"/>
      <c r="W52" s="135"/>
      <c r="X52" s="136"/>
      <c r="Y52" s="227"/>
      <c r="Z52" s="228"/>
      <c r="AA52" s="228"/>
      <c r="AB52" s="229"/>
      <c r="AC52" s="76" t="s">
        <v>75</v>
      </c>
      <c r="AR52" s="80"/>
    </row>
    <row r="53" spans="1:44" ht="33.75" customHeight="1">
      <c r="A53" s="129" t="str">
        <f>'Contrôle P3-1'!A53:D53</f>
        <v>???</v>
      </c>
      <c r="B53" s="129"/>
      <c r="C53" s="129"/>
      <c r="D53" s="129"/>
      <c r="E53" s="128" t="str">
        <f>'Contrôle P3-1'!E53:H53</f>
        <v>???</v>
      </c>
      <c r="F53" s="128"/>
      <c r="G53" s="128"/>
      <c r="H53" s="128"/>
      <c r="I53" s="116" t="str">
        <f>'Contrôle P3-1'!I53</f>
        <v>???</v>
      </c>
      <c r="J53" s="116" t="str">
        <f>'Contrôle P3-1'!J53</f>
        <v>???</v>
      </c>
      <c r="K53" s="129" t="str">
        <f>'Contrôle P3-1'!K53:M53</f>
        <v>???</v>
      </c>
      <c r="L53" s="129"/>
      <c r="M53" s="129"/>
      <c r="N53" s="129" t="str">
        <f>'Contrôle P3-1'!N53:O53</f>
        <v>???</v>
      </c>
      <c r="O53" s="129"/>
      <c r="P53" s="129" t="str">
        <f>'Contrôle P3-1'!P53:Q53</f>
        <v>???</v>
      </c>
      <c r="Q53" s="129"/>
      <c r="R53" s="130" t="str">
        <f>'Contrôle P3-1'!R53:T53</f>
        <v>???</v>
      </c>
      <c r="S53" s="131"/>
      <c r="T53" s="131"/>
      <c r="U53" s="138" t="s">
        <v>42</v>
      </c>
      <c r="V53" s="138"/>
      <c r="W53" s="138"/>
      <c r="X53" s="138"/>
      <c r="Y53" s="219" t="s">
        <v>51</v>
      </c>
      <c r="Z53" s="220"/>
      <c r="AA53" s="220"/>
      <c r="AB53" s="221"/>
      <c r="AC53" s="76" t="s">
        <v>74</v>
      </c>
      <c r="AE53" s="111">
        <f>IF(A53=A66,1,0)</f>
        <v>0</v>
      </c>
      <c r="AF53" s="111">
        <f aca="true" t="shared" si="0" ref="AF53:AF61">IF(E53=E66,1,0)</f>
        <v>0</v>
      </c>
      <c r="AG53" s="111">
        <f aca="true" t="shared" si="1" ref="AG53:AI61">IF(I53=I66,1,0)</f>
        <v>0</v>
      </c>
      <c r="AH53" s="111">
        <f t="shared" si="1"/>
        <v>0</v>
      </c>
      <c r="AI53" s="111">
        <f t="shared" si="1"/>
        <v>0</v>
      </c>
      <c r="AJ53" s="111">
        <f aca="true" t="shared" si="2" ref="AJ53:AJ61">IF(N53=N66,1,0)</f>
        <v>0</v>
      </c>
      <c r="AK53" s="111">
        <f aca="true" t="shared" si="3" ref="AK53:AK61">IF(P53=P66,1,0)</f>
        <v>0</v>
      </c>
      <c r="AL53" s="111">
        <f aca="true" t="shared" si="4" ref="AL53:AL61">IF(S53=R66,1,0)</f>
        <v>0</v>
      </c>
      <c r="AM53" s="111"/>
      <c r="AN53" s="112"/>
      <c r="AO53" s="112"/>
      <c r="AP53" s="112"/>
      <c r="AQ53" s="113" t="s">
        <v>106</v>
      </c>
      <c r="AR53" s="114">
        <f>IF(AM8=AQ53,2,0)</f>
        <v>0</v>
      </c>
    </row>
    <row r="54" spans="1:44" ht="33.75" customHeight="1">
      <c r="A54" s="129" t="str">
        <f>'Contrôle P3-1'!A54:D54</f>
        <v>???</v>
      </c>
      <c r="B54" s="129"/>
      <c r="C54" s="129"/>
      <c r="D54" s="129"/>
      <c r="E54" s="128" t="str">
        <f>'Contrôle P3-1'!E54:H54</f>
        <v>???</v>
      </c>
      <c r="F54" s="128"/>
      <c r="G54" s="128"/>
      <c r="H54" s="128"/>
      <c r="I54" s="116" t="str">
        <f>'Contrôle P3-1'!I54</f>
        <v>???</v>
      </c>
      <c r="J54" s="116" t="str">
        <f>'Contrôle P3-1'!J54</f>
        <v>???</v>
      </c>
      <c r="K54" s="129" t="str">
        <f>'Contrôle P3-1'!K54:M54</f>
        <v>???</v>
      </c>
      <c r="L54" s="129"/>
      <c r="M54" s="129"/>
      <c r="N54" s="129" t="str">
        <f>'Contrôle P3-1'!N54:O54</f>
        <v>???</v>
      </c>
      <c r="O54" s="129"/>
      <c r="P54" s="129" t="str">
        <f>'Contrôle P3-1'!P54:Q54</f>
        <v>???</v>
      </c>
      <c r="Q54" s="129"/>
      <c r="R54" s="130" t="str">
        <f>'Contrôle P3-1'!R54:T54</f>
        <v>???</v>
      </c>
      <c r="S54" s="131"/>
      <c r="T54" s="131"/>
      <c r="U54" s="128" t="str">
        <f>'Contrôle P3-1'!U54:X54</f>
        <v>???</v>
      </c>
      <c r="V54" s="128"/>
      <c r="W54" s="128"/>
      <c r="X54" s="128"/>
      <c r="Y54" s="219" t="s">
        <v>51</v>
      </c>
      <c r="Z54" s="220"/>
      <c r="AA54" s="220"/>
      <c r="AB54" s="221"/>
      <c r="AC54" s="76" t="s">
        <v>76</v>
      </c>
      <c r="AE54" s="111">
        <f aca="true" t="shared" si="5" ref="AE54:AE60">IF(A54=A67,1,0)</f>
        <v>0</v>
      </c>
      <c r="AF54" s="111">
        <f t="shared" si="0"/>
        <v>0</v>
      </c>
      <c r="AG54" s="111">
        <f t="shared" si="1"/>
        <v>0</v>
      </c>
      <c r="AH54" s="111">
        <f t="shared" si="1"/>
        <v>0</v>
      </c>
      <c r="AI54" s="111">
        <f t="shared" si="1"/>
        <v>0</v>
      </c>
      <c r="AJ54" s="111">
        <f t="shared" si="2"/>
        <v>0</v>
      </c>
      <c r="AK54" s="111">
        <f t="shared" si="3"/>
        <v>0</v>
      </c>
      <c r="AL54" s="111">
        <f t="shared" si="4"/>
        <v>0</v>
      </c>
      <c r="AM54" s="111">
        <f aca="true" t="shared" si="6" ref="AM54:AM61">IF(U54=U67,1,0)</f>
        <v>0</v>
      </c>
      <c r="AN54" s="112"/>
      <c r="AO54" s="112"/>
      <c r="AP54" s="112"/>
      <c r="AQ54" s="115"/>
      <c r="AR54" s="80"/>
    </row>
    <row r="55" spans="1:44" ht="33.75" customHeight="1">
      <c r="A55" s="129" t="str">
        <f>'Contrôle P3-1'!A55:D55</f>
        <v>???</v>
      </c>
      <c r="B55" s="129"/>
      <c r="C55" s="129"/>
      <c r="D55" s="129"/>
      <c r="E55" s="128" t="str">
        <f>'Contrôle P3-1'!E55:H55</f>
        <v>???</v>
      </c>
      <c r="F55" s="128"/>
      <c r="G55" s="128"/>
      <c r="H55" s="128"/>
      <c r="I55" s="116" t="str">
        <f>'Contrôle P3-1'!I55</f>
        <v>???</v>
      </c>
      <c r="J55" s="116" t="str">
        <f>'Contrôle P3-1'!J55</f>
        <v>???</v>
      </c>
      <c r="K55" s="129" t="str">
        <f>'Contrôle P3-1'!K55:M55</f>
        <v>???</v>
      </c>
      <c r="L55" s="129"/>
      <c r="M55" s="129"/>
      <c r="N55" s="129" t="str">
        <f>'Contrôle P3-1'!N55:O55</f>
        <v>???</v>
      </c>
      <c r="O55" s="129"/>
      <c r="P55" s="129" t="str">
        <f>'Contrôle P3-1'!P55:Q55</f>
        <v>???</v>
      </c>
      <c r="Q55" s="129"/>
      <c r="R55" s="130" t="str">
        <f>'Contrôle P3-1'!R55:T55</f>
        <v>???</v>
      </c>
      <c r="S55" s="131"/>
      <c r="T55" s="131"/>
      <c r="U55" s="128" t="str">
        <f>'Contrôle P3-1'!U55:X55</f>
        <v>???</v>
      </c>
      <c r="V55" s="128"/>
      <c r="W55" s="128"/>
      <c r="X55" s="128"/>
      <c r="Y55" s="219" t="s">
        <v>51</v>
      </c>
      <c r="Z55" s="220"/>
      <c r="AA55" s="220"/>
      <c r="AB55" s="221"/>
      <c r="AC55" s="76" t="s">
        <v>77</v>
      </c>
      <c r="AE55" s="111">
        <f t="shared" si="5"/>
        <v>0</v>
      </c>
      <c r="AF55" s="111">
        <f t="shared" si="0"/>
        <v>0</v>
      </c>
      <c r="AG55" s="111">
        <f t="shared" si="1"/>
        <v>0</v>
      </c>
      <c r="AH55" s="111">
        <f t="shared" si="1"/>
        <v>0</v>
      </c>
      <c r="AI55" s="111">
        <f t="shared" si="1"/>
        <v>0</v>
      </c>
      <c r="AJ55" s="111">
        <f t="shared" si="2"/>
        <v>0</v>
      </c>
      <c r="AK55" s="111">
        <f t="shared" si="3"/>
        <v>0</v>
      </c>
      <c r="AL55" s="111">
        <f t="shared" si="4"/>
        <v>0</v>
      </c>
      <c r="AM55" s="111">
        <f t="shared" si="6"/>
        <v>0</v>
      </c>
      <c r="AN55" s="112"/>
      <c r="AO55" s="112"/>
      <c r="AP55" s="112"/>
      <c r="AQ55" s="113">
        <v>1827</v>
      </c>
      <c r="AR55" s="114">
        <f>IF(AQ55=AM12,2,0)</f>
        <v>0</v>
      </c>
    </row>
    <row r="56" spans="1:44" ht="33.75" customHeight="1">
      <c r="A56" s="129" t="str">
        <f>'Contrôle P3-1'!A56:D56</f>
        <v>???</v>
      </c>
      <c r="B56" s="129"/>
      <c r="C56" s="129"/>
      <c r="D56" s="129"/>
      <c r="E56" s="128" t="str">
        <f>'Contrôle P3-1'!E56:H56</f>
        <v>???</v>
      </c>
      <c r="F56" s="128"/>
      <c r="G56" s="128"/>
      <c r="H56" s="128"/>
      <c r="I56" s="116" t="str">
        <f>'Contrôle P3-1'!I56</f>
        <v>???</v>
      </c>
      <c r="J56" s="116" t="str">
        <f>'Contrôle P3-1'!J56</f>
        <v>???</v>
      </c>
      <c r="K56" s="129" t="str">
        <f>'Contrôle P3-1'!K56:M56</f>
        <v>???</v>
      </c>
      <c r="L56" s="129"/>
      <c r="M56" s="129"/>
      <c r="N56" s="129" t="str">
        <f>'Contrôle P3-1'!N56:O56</f>
        <v>???</v>
      </c>
      <c r="O56" s="129"/>
      <c r="P56" s="129" t="str">
        <f>'Contrôle P3-1'!P56:Q56</f>
        <v>???</v>
      </c>
      <c r="Q56" s="129"/>
      <c r="R56" s="130" t="str">
        <f>'Contrôle P3-1'!R56:T56</f>
        <v>???</v>
      </c>
      <c r="S56" s="131"/>
      <c r="T56" s="131"/>
      <c r="U56" s="128" t="str">
        <f>'Contrôle P3-1'!U56:X56</f>
        <v>???</v>
      </c>
      <c r="V56" s="128"/>
      <c r="W56" s="128"/>
      <c r="X56" s="128"/>
      <c r="Y56" s="219" t="s">
        <v>51</v>
      </c>
      <c r="Z56" s="220"/>
      <c r="AA56" s="220"/>
      <c r="AB56" s="221"/>
      <c r="AC56" s="76" t="s">
        <v>49</v>
      </c>
      <c r="AE56" s="111">
        <f t="shared" si="5"/>
        <v>0</v>
      </c>
      <c r="AF56" s="111">
        <f t="shared" si="0"/>
        <v>0</v>
      </c>
      <c r="AG56" s="111">
        <f t="shared" si="1"/>
        <v>0</v>
      </c>
      <c r="AH56" s="111">
        <f t="shared" si="1"/>
        <v>0</v>
      </c>
      <c r="AI56" s="111">
        <f t="shared" si="1"/>
        <v>0</v>
      </c>
      <c r="AJ56" s="111">
        <f t="shared" si="2"/>
        <v>0</v>
      </c>
      <c r="AK56" s="111">
        <f t="shared" si="3"/>
        <v>0</v>
      </c>
      <c r="AL56" s="111">
        <f t="shared" si="4"/>
        <v>0</v>
      </c>
      <c r="AM56" s="111">
        <f t="shared" si="6"/>
        <v>0</v>
      </c>
      <c r="AN56" s="112"/>
      <c r="AO56" s="112"/>
      <c r="AP56" s="112"/>
      <c r="AQ56" s="115"/>
      <c r="AR56" s="80"/>
    </row>
    <row r="57" spans="1:44" ht="33.75" customHeight="1">
      <c r="A57" s="129" t="str">
        <f>'Contrôle P3-1'!A57:D57</f>
        <v>???</v>
      </c>
      <c r="B57" s="129"/>
      <c r="C57" s="129"/>
      <c r="D57" s="129"/>
      <c r="E57" s="128" t="str">
        <f>'Contrôle P3-1'!E57:H57</f>
        <v>???</v>
      </c>
      <c r="F57" s="128"/>
      <c r="G57" s="128"/>
      <c r="H57" s="128"/>
      <c r="I57" s="116" t="str">
        <f>'Contrôle P3-1'!I57</f>
        <v>???</v>
      </c>
      <c r="J57" s="116" t="str">
        <f>'Contrôle P3-1'!J57</f>
        <v>???</v>
      </c>
      <c r="K57" s="129" t="str">
        <f>'Contrôle P3-1'!K57:M57</f>
        <v>???</v>
      </c>
      <c r="L57" s="129"/>
      <c r="M57" s="129"/>
      <c r="N57" s="129" t="str">
        <f>'Contrôle P3-1'!N57:O57</f>
        <v>???</v>
      </c>
      <c r="O57" s="129"/>
      <c r="P57" s="129" t="str">
        <f>'Contrôle P3-1'!P57:Q57</f>
        <v>???</v>
      </c>
      <c r="Q57" s="129"/>
      <c r="R57" s="130" t="str">
        <f>'Contrôle P3-1'!R57:T57</f>
        <v>???</v>
      </c>
      <c r="S57" s="131"/>
      <c r="T57" s="131"/>
      <c r="U57" s="128" t="str">
        <f>'Contrôle P3-1'!U57:X57</f>
        <v>???</v>
      </c>
      <c r="V57" s="128"/>
      <c r="W57" s="128"/>
      <c r="X57" s="128"/>
      <c r="Y57" s="219" t="s">
        <v>51</v>
      </c>
      <c r="Z57" s="220"/>
      <c r="AA57" s="220"/>
      <c r="AB57" s="221"/>
      <c r="AC57" s="76" t="s">
        <v>78</v>
      </c>
      <c r="AE57" s="111">
        <f t="shared" si="5"/>
        <v>0</v>
      </c>
      <c r="AF57" s="111">
        <f t="shared" si="0"/>
        <v>0</v>
      </c>
      <c r="AG57" s="111">
        <f t="shared" si="1"/>
        <v>0</v>
      </c>
      <c r="AH57" s="111">
        <f t="shared" si="1"/>
        <v>0</v>
      </c>
      <c r="AI57" s="111">
        <f t="shared" si="1"/>
        <v>0</v>
      </c>
      <c r="AJ57" s="111">
        <f t="shared" si="2"/>
        <v>0</v>
      </c>
      <c r="AK57" s="111">
        <f t="shared" si="3"/>
        <v>0</v>
      </c>
      <c r="AL57" s="111">
        <f t="shared" si="4"/>
        <v>0</v>
      </c>
      <c r="AM57" s="111">
        <f t="shared" si="6"/>
        <v>0</v>
      </c>
      <c r="AN57" s="112"/>
      <c r="AO57" s="112"/>
      <c r="AP57" s="112"/>
      <c r="AQ57" s="113" t="s">
        <v>90</v>
      </c>
      <c r="AR57" s="114">
        <f>IF(AQ57=AM17,2,0)</f>
        <v>0</v>
      </c>
    </row>
    <row r="58" spans="1:44" ht="33.75" customHeight="1">
      <c r="A58" s="129" t="str">
        <f>'Contrôle P3-1'!A58:D58</f>
        <v>???</v>
      </c>
      <c r="B58" s="129"/>
      <c r="C58" s="129"/>
      <c r="D58" s="129"/>
      <c r="E58" s="128" t="str">
        <f>'Contrôle P3-1'!E58:H58</f>
        <v>???</v>
      </c>
      <c r="F58" s="128"/>
      <c r="G58" s="128"/>
      <c r="H58" s="128"/>
      <c r="I58" s="116" t="str">
        <f>'Contrôle P3-1'!I58</f>
        <v>???</v>
      </c>
      <c r="J58" s="116" t="str">
        <f>'Contrôle P3-1'!J58</f>
        <v>???</v>
      </c>
      <c r="K58" s="129" t="str">
        <f>'Contrôle P3-1'!K58:M58</f>
        <v>???</v>
      </c>
      <c r="L58" s="129"/>
      <c r="M58" s="129"/>
      <c r="N58" s="129" t="str">
        <f>'Contrôle P3-1'!N58:O58</f>
        <v>???</v>
      </c>
      <c r="O58" s="129"/>
      <c r="P58" s="129" t="str">
        <f>'Contrôle P3-1'!P58:Q58</f>
        <v>???</v>
      </c>
      <c r="Q58" s="129"/>
      <c r="R58" s="130" t="str">
        <f>'Contrôle P3-1'!R58:T58</f>
        <v>???</v>
      </c>
      <c r="S58" s="131"/>
      <c r="T58" s="131"/>
      <c r="U58" s="128" t="str">
        <f>'Contrôle P3-1'!U58:X58</f>
        <v>???</v>
      </c>
      <c r="V58" s="128"/>
      <c r="W58" s="128"/>
      <c r="X58" s="128"/>
      <c r="Y58" s="219" t="s">
        <v>51</v>
      </c>
      <c r="Z58" s="220"/>
      <c r="AA58" s="220"/>
      <c r="AB58" s="221"/>
      <c r="AC58" s="76" t="s">
        <v>40</v>
      </c>
      <c r="AE58" s="111">
        <f t="shared" si="5"/>
        <v>0</v>
      </c>
      <c r="AF58" s="111">
        <f t="shared" si="0"/>
        <v>0</v>
      </c>
      <c r="AG58" s="111">
        <f t="shared" si="1"/>
        <v>0</v>
      </c>
      <c r="AH58" s="111">
        <f t="shared" si="1"/>
        <v>0</v>
      </c>
      <c r="AI58" s="111">
        <f t="shared" si="1"/>
        <v>0</v>
      </c>
      <c r="AJ58" s="111">
        <f t="shared" si="2"/>
        <v>0</v>
      </c>
      <c r="AK58" s="111">
        <f t="shared" si="3"/>
        <v>0</v>
      </c>
      <c r="AL58" s="111">
        <f t="shared" si="4"/>
        <v>0</v>
      </c>
      <c r="AM58" s="111">
        <f t="shared" si="6"/>
        <v>0</v>
      </c>
      <c r="AN58" s="112"/>
      <c r="AO58" s="112"/>
      <c r="AP58" s="112"/>
      <c r="AQ58" s="115"/>
      <c r="AR58" s="80"/>
    </row>
    <row r="59" spans="1:44" ht="33.75" customHeight="1">
      <c r="A59" s="129" t="str">
        <f>'Contrôle P3-1'!A59:D59</f>
        <v>???</v>
      </c>
      <c r="B59" s="129"/>
      <c r="C59" s="129"/>
      <c r="D59" s="129"/>
      <c r="E59" s="128" t="str">
        <f>'Contrôle P3-1'!E59:H59</f>
        <v>???</v>
      </c>
      <c r="F59" s="128"/>
      <c r="G59" s="128"/>
      <c r="H59" s="128"/>
      <c r="I59" s="116" t="str">
        <f>'Contrôle P3-1'!I59</f>
        <v>???</v>
      </c>
      <c r="J59" s="116" t="str">
        <f>'Contrôle P3-1'!J59</f>
        <v>???</v>
      </c>
      <c r="K59" s="129" t="str">
        <f>'Contrôle P3-1'!K59:M59</f>
        <v>???</v>
      </c>
      <c r="L59" s="129"/>
      <c r="M59" s="129"/>
      <c r="N59" s="129" t="str">
        <f>'Contrôle P3-1'!N59:O59</f>
        <v>???</v>
      </c>
      <c r="O59" s="129"/>
      <c r="P59" s="129" t="str">
        <f>'Contrôle P3-1'!P59:Q59</f>
        <v>???</v>
      </c>
      <c r="Q59" s="129"/>
      <c r="R59" s="130" t="str">
        <f>'Contrôle P3-1'!R59:T59</f>
        <v>???</v>
      </c>
      <c r="S59" s="131"/>
      <c r="T59" s="131"/>
      <c r="U59" s="128" t="str">
        <f>'Contrôle P3-1'!U59:X59</f>
        <v>???</v>
      </c>
      <c r="V59" s="128"/>
      <c r="W59" s="128"/>
      <c r="X59" s="128"/>
      <c r="Y59" s="219" t="s">
        <v>51</v>
      </c>
      <c r="Z59" s="220"/>
      <c r="AA59" s="220"/>
      <c r="AB59" s="221"/>
      <c r="AC59" s="76" t="s">
        <v>79</v>
      </c>
      <c r="AE59" s="111">
        <f t="shared" si="5"/>
        <v>0</v>
      </c>
      <c r="AF59" s="111">
        <f t="shared" si="0"/>
        <v>0</v>
      </c>
      <c r="AG59" s="111">
        <f t="shared" si="1"/>
        <v>0</v>
      </c>
      <c r="AH59" s="111">
        <f t="shared" si="1"/>
        <v>0</v>
      </c>
      <c r="AI59" s="111">
        <f t="shared" si="1"/>
        <v>0</v>
      </c>
      <c r="AJ59" s="111">
        <f t="shared" si="2"/>
        <v>0</v>
      </c>
      <c r="AK59" s="111">
        <f t="shared" si="3"/>
        <v>0</v>
      </c>
      <c r="AL59" s="111">
        <f t="shared" si="4"/>
        <v>0</v>
      </c>
      <c r="AM59" s="111">
        <f t="shared" si="6"/>
        <v>0</v>
      </c>
      <c r="AN59" s="112"/>
      <c r="AO59" s="112"/>
      <c r="AP59" s="112"/>
      <c r="AQ59" s="113">
        <f>(I20+K18)*2</f>
        <v>162</v>
      </c>
      <c r="AR59" s="114">
        <f>IF(AQ59=AM21,2,0)</f>
        <v>0</v>
      </c>
    </row>
    <row r="60" spans="1:44" ht="33.75" customHeight="1">
      <c r="A60" s="129" t="str">
        <f>'Contrôle P3-1'!A60:D60</f>
        <v>???</v>
      </c>
      <c r="B60" s="129"/>
      <c r="C60" s="129"/>
      <c r="D60" s="129"/>
      <c r="E60" s="128" t="str">
        <f>'Contrôle P3-1'!E60:H60</f>
        <v>???</v>
      </c>
      <c r="F60" s="128"/>
      <c r="G60" s="128"/>
      <c r="H60" s="128"/>
      <c r="I60" s="116" t="str">
        <f>'Contrôle P3-1'!I60</f>
        <v>???</v>
      </c>
      <c r="J60" s="116" t="str">
        <f>'Contrôle P3-1'!J60</f>
        <v>???</v>
      </c>
      <c r="K60" s="129" t="str">
        <f>'Contrôle P3-1'!K60:M60</f>
        <v>???</v>
      </c>
      <c r="L60" s="129"/>
      <c r="M60" s="129"/>
      <c r="N60" s="129" t="str">
        <f>'Contrôle P3-1'!N60:O60</f>
        <v>???</v>
      </c>
      <c r="O60" s="129"/>
      <c r="P60" s="129" t="str">
        <f>'Contrôle P3-1'!P60:Q60</f>
        <v>???</v>
      </c>
      <c r="Q60" s="129"/>
      <c r="R60" s="130" t="str">
        <f>'Contrôle P3-1'!R60:T60</f>
        <v>???</v>
      </c>
      <c r="S60" s="131"/>
      <c r="T60" s="131"/>
      <c r="U60" s="128" t="str">
        <f>'Contrôle P3-1'!U60:X60</f>
        <v>???</v>
      </c>
      <c r="V60" s="128"/>
      <c r="W60" s="128"/>
      <c r="X60" s="128"/>
      <c r="Y60" s="219" t="s">
        <v>51</v>
      </c>
      <c r="Z60" s="220"/>
      <c r="AA60" s="220"/>
      <c r="AB60" s="221"/>
      <c r="AC60" s="76" t="s">
        <v>80</v>
      </c>
      <c r="AE60" s="111">
        <f t="shared" si="5"/>
        <v>0</v>
      </c>
      <c r="AF60" s="111">
        <f t="shared" si="0"/>
        <v>0</v>
      </c>
      <c r="AG60" s="111">
        <f t="shared" si="1"/>
        <v>0</v>
      </c>
      <c r="AH60" s="111">
        <f t="shared" si="1"/>
        <v>0</v>
      </c>
      <c r="AI60" s="111">
        <f t="shared" si="1"/>
        <v>0</v>
      </c>
      <c r="AJ60" s="111">
        <f t="shared" si="2"/>
        <v>0</v>
      </c>
      <c r="AK60" s="111">
        <f t="shared" si="3"/>
        <v>0</v>
      </c>
      <c r="AL60" s="111">
        <f t="shared" si="4"/>
        <v>0</v>
      </c>
      <c r="AM60" s="111">
        <f t="shared" si="6"/>
        <v>0</v>
      </c>
      <c r="AN60" s="112"/>
      <c r="AO60" s="112"/>
      <c r="AP60" s="112"/>
      <c r="AQ60" s="54"/>
      <c r="AR60" s="73"/>
    </row>
    <row r="61" spans="1:44" ht="33.75" customHeight="1">
      <c r="A61" s="129" t="str">
        <f>'Contrôle P3-1'!A61:D61</f>
        <v>???</v>
      </c>
      <c r="B61" s="129"/>
      <c r="C61" s="129"/>
      <c r="D61" s="129"/>
      <c r="E61" s="128" t="str">
        <f>'Contrôle P3-1'!E61:H61</f>
        <v>???</v>
      </c>
      <c r="F61" s="128"/>
      <c r="G61" s="128"/>
      <c r="H61" s="128"/>
      <c r="I61" s="116" t="str">
        <f>'Contrôle P3-1'!I61</f>
        <v>???</v>
      </c>
      <c r="J61" s="116" t="str">
        <f>'Contrôle P3-1'!J61</f>
        <v>???</v>
      </c>
      <c r="K61" s="129" t="str">
        <f>'Contrôle P3-1'!K61:M61</f>
        <v>???</v>
      </c>
      <c r="L61" s="129"/>
      <c r="M61" s="129"/>
      <c r="N61" s="129" t="str">
        <f>'Contrôle P3-1'!N61:O61</f>
        <v>???</v>
      </c>
      <c r="O61" s="129"/>
      <c r="P61" s="129" t="str">
        <f>'Contrôle P3-1'!P61:Q61</f>
        <v>???</v>
      </c>
      <c r="Q61" s="129"/>
      <c r="R61" s="130" t="str">
        <f>'Contrôle P3-1'!R61:T61</f>
        <v>???</v>
      </c>
      <c r="S61" s="131"/>
      <c r="T61" s="131"/>
      <c r="U61" s="128" t="str">
        <f>'Contrôle P3-1'!U61:X61</f>
        <v>???</v>
      </c>
      <c r="V61" s="128"/>
      <c r="W61" s="128"/>
      <c r="X61" s="128"/>
      <c r="Y61" s="219" t="s">
        <v>51</v>
      </c>
      <c r="Z61" s="220"/>
      <c r="AA61" s="220"/>
      <c r="AB61" s="221"/>
      <c r="AC61" s="76" t="s">
        <v>81</v>
      </c>
      <c r="AE61" s="111">
        <f>IF(A61=A74,1,0)</f>
        <v>0</v>
      </c>
      <c r="AF61" s="111">
        <f t="shared" si="0"/>
        <v>0</v>
      </c>
      <c r="AG61" s="111">
        <f t="shared" si="1"/>
        <v>0</v>
      </c>
      <c r="AH61" s="111">
        <f t="shared" si="1"/>
        <v>0</v>
      </c>
      <c r="AI61" s="111">
        <f t="shared" si="1"/>
        <v>0</v>
      </c>
      <c r="AJ61" s="111">
        <f t="shared" si="2"/>
        <v>0</v>
      </c>
      <c r="AK61" s="111">
        <f t="shared" si="3"/>
        <v>0</v>
      </c>
      <c r="AL61" s="111">
        <f t="shared" si="4"/>
        <v>0</v>
      </c>
      <c r="AM61" s="111">
        <f t="shared" si="6"/>
        <v>0</v>
      </c>
      <c r="AN61" s="112"/>
      <c r="AO61" s="112"/>
      <c r="AP61" s="112"/>
      <c r="AQ61" s="113">
        <f>ROUND((I20*K18)/10000,1)</f>
        <v>0.2</v>
      </c>
      <c r="AR61" s="114">
        <f>IF(AQ61=AM24,2,0)</f>
        <v>0</v>
      </c>
    </row>
    <row r="62" spans="29:44" s="54" customFormat="1" ht="36.75" customHeight="1">
      <c r="AC62" s="76" t="s">
        <v>82</v>
      </c>
      <c r="AD62" s="73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>
        <f>SUM(AE53:AM61)</f>
        <v>0</v>
      </c>
      <c r="AO62" s="112">
        <v>80</v>
      </c>
      <c r="AP62" s="112"/>
      <c r="AQ62" s="80"/>
      <c r="AR62" s="80"/>
    </row>
    <row r="63" spans="1:44" s="54" customFormat="1" ht="34.5">
      <c r="A63" s="222" t="s">
        <v>86</v>
      </c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75"/>
      <c r="Z63" s="75"/>
      <c r="AA63" s="75"/>
      <c r="AB63" s="75"/>
      <c r="AD63" s="73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112"/>
      <c r="AQ63" s="80"/>
      <c r="AR63" s="80"/>
    </row>
    <row r="64" spans="1:44" ht="25.5" customHeight="1">
      <c r="A64" s="223" t="s">
        <v>21</v>
      </c>
      <c r="B64" s="223"/>
      <c r="C64" s="223"/>
      <c r="D64" s="223"/>
      <c r="E64" s="223" t="s">
        <v>22</v>
      </c>
      <c r="F64" s="223"/>
      <c r="G64" s="223"/>
      <c r="H64" s="223"/>
      <c r="I64" s="223" t="s">
        <v>23</v>
      </c>
      <c r="J64" s="223" t="s">
        <v>24</v>
      </c>
      <c r="K64" s="216" t="s">
        <v>25</v>
      </c>
      <c r="L64" s="216"/>
      <c r="M64" s="216"/>
      <c r="N64" s="216" t="s">
        <v>26</v>
      </c>
      <c r="O64" s="216"/>
      <c r="P64" s="216" t="s">
        <v>27</v>
      </c>
      <c r="Q64" s="216"/>
      <c r="R64" s="216" t="s">
        <v>28</v>
      </c>
      <c r="S64" s="216"/>
      <c r="T64" s="216"/>
      <c r="U64" s="216" t="s">
        <v>39</v>
      </c>
      <c r="V64" s="216"/>
      <c r="W64" s="216"/>
      <c r="X64" s="216"/>
      <c r="Y64" s="217"/>
      <c r="Z64" s="217"/>
      <c r="AA64" s="217"/>
      <c r="AB64" s="217"/>
      <c r="AC64" s="80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3">
        <f>ROUND(I20*1.18,1)</f>
        <v>51.9</v>
      </c>
      <c r="AR64" s="114">
        <f>IF(AM28=AQ64,2,0)</f>
        <v>0</v>
      </c>
    </row>
    <row r="65" spans="1:44" ht="25.5" customHeight="1">
      <c r="A65" s="223"/>
      <c r="B65" s="223"/>
      <c r="C65" s="223"/>
      <c r="D65" s="223"/>
      <c r="E65" s="223"/>
      <c r="F65" s="223"/>
      <c r="G65" s="223"/>
      <c r="H65" s="223"/>
      <c r="I65" s="223"/>
      <c r="J65" s="223"/>
      <c r="K65" s="218" t="s">
        <v>29</v>
      </c>
      <c r="L65" s="218"/>
      <c r="M65" s="218"/>
      <c r="N65" s="218" t="s">
        <v>29</v>
      </c>
      <c r="O65" s="218"/>
      <c r="P65" s="218" t="s">
        <v>29</v>
      </c>
      <c r="Q65" s="218"/>
      <c r="R65" s="218" t="s">
        <v>29</v>
      </c>
      <c r="S65" s="218"/>
      <c r="T65" s="218"/>
      <c r="U65" s="218" t="s">
        <v>48</v>
      </c>
      <c r="V65" s="218"/>
      <c r="W65" s="218"/>
      <c r="X65" s="218"/>
      <c r="Y65" s="217"/>
      <c r="Z65" s="217"/>
      <c r="AA65" s="217"/>
      <c r="AB65" s="217"/>
      <c r="AC65" s="80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R65" s="80"/>
    </row>
    <row r="66" spans="1:44" ht="31.5" customHeight="1">
      <c r="A66" s="209" t="str">
        <f>IF($A$2&gt;1.25,"O","NO")</f>
        <v>NO</v>
      </c>
      <c r="B66" s="209"/>
      <c r="C66" s="209"/>
      <c r="D66" s="209"/>
      <c r="E66" s="209" t="s">
        <v>4</v>
      </c>
      <c r="F66" s="209"/>
      <c r="G66" s="209"/>
      <c r="H66" s="209"/>
      <c r="I66" s="110" t="s">
        <v>55</v>
      </c>
      <c r="J66" s="110">
        <v>1</v>
      </c>
      <c r="K66" s="210">
        <f>H10*10</f>
        <v>930</v>
      </c>
      <c r="L66" s="210"/>
      <c r="M66" s="210"/>
      <c r="N66" s="210">
        <f>I10*10</f>
        <v>1050</v>
      </c>
      <c r="O66" s="210"/>
      <c r="P66" s="210">
        <f aca="true" t="shared" si="7" ref="P66:P71">IF($V$5="Pose en applique avec tapées d'isolation",K66,IF($V$5="Pose en applique sur precadre ALU",(K66-10),IF($V$5="Pose en applique sur précadre acier",(K66-10),(K66+64))))</f>
        <v>930</v>
      </c>
      <c r="Q66" s="210"/>
      <c r="R66" s="210">
        <f>IF($V$5="Pose en applique avec tapées d'isolation",N66,IF($V$5="Pose en applique sur precadre ALU",(N66-10),IF($V$5="Pose en applique sur précadre acier",(N66-10),(N66+64))))</f>
        <v>1050</v>
      </c>
      <c r="S66" s="210"/>
      <c r="T66" s="210"/>
      <c r="U66" s="215" t="s">
        <v>42</v>
      </c>
      <c r="V66" s="215"/>
      <c r="W66" s="215"/>
      <c r="X66" s="215"/>
      <c r="Y66" s="208"/>
      <c r="Z66" s="208"/>
      <c r="AA66" s="208"/>
      <c r="AB66" s="208"/>
      <c r="AC66" s="80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3">
        <v>0.006</v>
      </c>
      <c r="AR66" s="114">
        <f>IF(AM32=AQ66,2,0)</f>
        <v>0</v>
      </c>
    </row>
    <row r="67" spans="1:45" ht="36.75" customHeight="1">
      <c r="A67" s="209" t="str">
        <f>IF($A$2&gt;1.25,"O","NO")</f>
        <v>NO</v>
      </c>
      <c r="B67" s="209"/>
      <c r="C67" s="209"/>
      <c r="D67" s="209"/>
      <c r="E67" s="209" t="s">
        <v>2</v>
      </c>
      <c r="F67" s="209"/>
      <c r="G67" s="209"/>
      <c r="H67" s="209"/>
      <c r="I67" s="110" t="s">
        <v>55</v>
      </c>
      <c r="J67" s="110">
        <v>1</v>
      </c>
      <c r="K67" s="210">
        <f>N10*10</f>
        <v>820</v>
      </c>
      <c r="L67" s="210"/>
      <c r="M67" s="210"/>
      <c r="N67" s="210">
        <f>O10*10</f>
        <v>940</v>
      </c>
      <c r="O67" s="210"/>
      <c r="P67" s="210">
        <f t="shared" si="7"/>
        <v>820</v>
      </c>
      <c r="Q67" s="210"/>
      <c r="R67" s="210">
        <f>IF($V$5="Pose en applique avec tapées d'isolation",N67,IF($V$5="Pose en applique sur precadre ALU",(N67-10),IF($V$5="Pose en applique sur précadre acier",(N67-10),(N67+64))))</f>
        <v>940</v>
      </c>
      <c r="S67" s="210"/>
      <c r="T67" s="210"/>
      <c r="U67" s="207" t="s">
        <v>75</v>
      </c>
      <c r="V67" s="207"/>
      <c r="W67" s="207"/>
      <c r="X67" s="207"/>
      <c r="Y67" s="208"/>
      <c r="Z67" s="208"/>
      <c r="AA67" s="208"/>
      <c r="AB67" s="208"/>
      <c r="AC67" s="80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R67" s="105">
        <f>SUM(AR53:AR66)</f>
        <v>0</v>
      </c>
      <c r="AS67" s="123">
        <v>14</v>
      </c>
    </row>
    <row r="68" spans="1:44" ht="36.75" customHeight="1">
      <c r="A68" s="209" t="str">
        <f>IF($A$2&gt;1.25,"N","NE")</f>
        <v>NE</v>
      </c>
      <c r="B68" s="209"/>
      <c r="C68" s="209"/>
      <c r="D68" s="209"/>
      <c r="E68" s="209" t="s">
        <v>2</v>
      </c>
      <c r="F68" s="209"/>
      <c r="G68" s="209"/>
      <c r="H68" s="209"/>
      <c r="I68" s="110" t="s">
        <v>55</v>
      </c>
      <c r="J68" s="110">
        <v>1</v>
      </c>
      <c r="K68" s="210">
        <f>AB16*10</f>
        <v>880</v>
      </c>
      <c r="L68" s="210"/>
      <c r="M68" s="210"/>
      <c r="N68" s="210">
        <f>AB14*10</f>
        <v>2090</v>
      </c>
      <c r="O68" s="210"/>
      <c r="P68" s="210">
        <f t="shared" si="7"/>
        <v>880</v>
      </c>
      <c r="Q68" s="210"/>
      <c r="R68" s="210">
        <f>IF($V$5="Pose en applique avec tapées d'isolation",N68,IF($V$5="Pose en applique sur precadre ALU",(N68-5),IF($V$5="Pose en applique sur précadre acier",(N68-5),(N68+32))))</f>
        <v>2090</v>
      </c>
      <c r="S68" s="210"/>
      <c r="T68" s="210"/>
      <c r="U68" s="207" t="s">
        <v>76</v>
      </c>
      <c r="V68" s="207"/>
      <c r="W68" s="207"/>
      <c r="X68" s="207"/>
      <c r="Y68" s="208"/>
      <c r="Z68" s="208"/>
      <c r="AA68" s="208"/>
      <c r="AB68" s="208"/>
      <c r="AC68" s="80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R68" s="80"/>
    </row>
    <row r="69" spans="1:44" ht="36.75" customHeight="1">
      <c r="A69" s="209" t="str">
        <f>IF($A$2&gt;1.25,"O","NO")</f>
        <v>NO</v>
      </c>
      <c r="B69" s="209"/>
      <c r="C69" s="209"/>
      <c r="D69" s="209"/>
      <c r="E69" s="209" t="s">
        <v>0</v>
      </c>
      <c r="F69" s="209"/>
      <c r="G69" s="209"/>
      <c r="H69" s="209"/>
      <c r="I69" s="110" t="s">
        <v>55</v>
      </c>
      <c r="J69" s="110">
        <v>1</v>
      </c>
      <c r="K69" s="210">
        <f>V10*10</f>
        <v>990</v>
      </c>
      <c r="L69" s="210"/>
      <c r="M69" s="210"/>
      <c r="N69" s="210">
        <f>W10*10</f>
        <v>1030</v>
      </c>
      <c r="O69" s="210"/>
      <c r="P69" s="210">
        <f t="shared" si="7"/>
        <v>990</v>
      </c>
      <c r="Q69" s="210"/>
      <c r="R69" s="210">
        <f>IF($V$5="Pose en applique avec tapées d'isolation",N69,IF($V$5="Pose en applique sur precadre ALU",(N69-10),IF($V$5="Pose en applique sur précadre acier",(N69-10),(N69+64))))</f>
        <v>1030</v>
      </c>
      <c r="S69" s="210"/>
      <c r="T69" s="210"/>
      <c r="U69" s="207" t="s">
        <v>66</v>
      </c>
      <c r="V69" s="207"/>
      <c r="W69" s="207"/>
      <c r="X69" s="207"/>
      <c r="Y69" s="208"/>
      <c r="Z69" s="208"/>
      <c r="AA69" s="208"/>
      <c r="AB69" s="208"/>
      <c r="AC69" s="80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</row>
    <row r="70" spans="1:44" ht="36.75" customHeight="1">
      <c r="A70" s="209" t="str">
        <f>IF($A$2&gt;1.25,"E","SE")</f>
        <v>SE</v>
      </c>
      <c r="B70" s="209"/>
      <c r="C70" s="209"/>
      <c r="D70" s="209"/>
      <c r="E70" s="209" t="s">
        <v>0</v>
      </c>
      <c r="F70" s="209"/>
      <c r="G70" s="209"/>
      <c r="H70" s="209"/>
      <c r="I70" s="110" t="s">
        <v>55</v>
      </c>
      <c r="J70" s="110">
        <v>1</v>
      </c>
      <c r="K70" s="210">
        <f>V42*10</f>
        <v>990</v>
      </c>
      <c r="L70" s="210"/>
      <c r="M70" s="210"/>
      <c r="N70" s="210">
        <f>W42*10</f>
        <v>2130</v>
      </c>
      <c r="O70" s="210"/>
      <c r="P70" s="210">
        <f t="shared" si="7"/>
        <v>990</v>
      </c>
      <c r="Q70" s="210"/>
      <c r="R70" s="210">
        <f>IF($V$5="Pose en applique avec tapées d'isolation",N70,IF($V$5="Pose en applique sur precadre ALU",(N70-5),IF($V$5="Pose en applique sur précadre acier",(N70-5),(N70+32))))</f>
        <v>2130</v>
      </c>
      <c r="S70" s="210"/>
      <c r="T70" s="210"/>
      <c r="U70" s="211" t="s">
        <v>69</v>
      </c>
      <c r="V70" s="211"/>
      <c r="W70" s="211"/>
      <c r="X70" s="211"/>
      <c r="Y70" s="208"/>
      <c r="Z70" s="208"/>
      <c r="AA70" s="208"/>
      <c r="AB70" s="208"/>
      <c r="AC70" s="80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</row>
    <row r="71" spans="1:44" ht="36.75" customHeight="1">
      <c r="A71" s="209" t="str">
        <f>IF($A$2&gt;1.25,"E","SE")</f>
        <v>SE</v>
      </c>
      <c r="B71" s="209"/>
      <c r="C71" s="209"/>
      <c r="D71" s="209"/>
      <c r="E71" s="212" t="s">
        <v>62</v>
      </c>
      <c r="F71" s="213"/>
      <c r="G71" s="213"/>
      <c r="H71" s="214"/>
      <c r="I71" s="110" t="s">
        <v>55</v>
      </c>
      <c r="J71" s="110">
        <v>1</v>
      </c>
      <c r="K71" s="210">
        <f>O42*10</f>
        <v>1150</v>
      </c>
      <c r="L71" s="210"/>
      <c r="M71" s="210"/>
      <c r="N71" s="210">
        <f>P42*10</f>
        <v>870</v>
      </c>
      <c r="O71" s="210"/>
      <c r="P71" s="210">
        <f t="shared" si="7"/>
        <v>1150</v>
      </c>
      <c r="Q71" s="210"/>
      <c r="R71" s="210">
        <f>IF($V$5="Pose en applique avec tapées d'isolation",N71,IF($V$5="Pose en applique sur precadre ALU",(N71-10),IF($V$5="Pose en applique sur précadre acier",(N71-10),(N71+64))))</f>
        <v>870</v>
      </c>
      <c r="S71" s="210"/>
      <c r="T71" s="210"/>
      <c r="U71" s="207" t="s">
        <v>49</v>
      </c>
      <c r="V71" s="207"/>
      <c r="W71" s="207"/>
      <c r="X71" s="207"/>
      <c r="Y71" s="208"/>
      <c r="Z71" s="208"/>
      <c r="AA71" s="208"/>
      <c r="AB71" s="208"/>
      <c r="AC71" s="80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</row>
    <row r="72" spans="1:44" ht="36.75" customHeight="1">
      <c r="A72" s="209" t="str">
        <f>IF($A$2&gt;1.25,"E","SE")</f>
        <v>SE</v>
      </c>
      <c r="B72" s="209"/>
      <c r="C72" s="209"/>
      <c r="D72" s="209"/>
      <c r="E72" s="209" t="s">
        <v>5</v>
      </c>
      <c r="F72" s="209"/>
      <c r="G72" s="209"/>
      <c r="H72" s="209"/>
      <c r="I72" s="110" t="s">
        <v>20</v>
      </c>
      <c r="J72" s="110">
        <v>1</v>
      </c>
      <c r="K72" s="210">
        <f>H42*10</f>
        <v>930</v>
      </c>
      <c r="L72" s="210"/>
      <c r="M72" s="210"/>
      <c r="N72" s="210">
        <f>I42*10</f>
        <v>1050</v>
      </c>
      <c r="O72" s="210"/>
      <c r="P72" s="210">
        <f>K72-10</f>
        <v>920</v>
      </c>
      <c r="Q72" s="210"/>
      <c r="R72" s="210">
        <f>N72-10</f>
        <v>1040</v>
      </c>
      <c r="S72" s="210"/>
      <c r="T72" s="210"/>
      <c r="U72" s="207" t="s">
        <v>50</v>
      </c>
      <c r="V72" s="207"/>
      <c r="W72" s="207"/>
      <c r="X72" s="207"/>
      <c r="Y72" s="208"/>
      <c r="Z72" s="208"/>
      <c r="AA72" s="208"/>
      <c r="AB72" s="208"/>
      <c r="AC72" s="80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</row>
    <row r="73" spans="1:44" ht="36.75" customHeight="1">
      <c r="A73" s="209" t="str">
        <f>IF($A$2&gt;1.25,"O","SO")</f>
        <v>SO</v>
      </c>
      <c r="B73" s="209"/>
      <c r="C73" s="209"/>
      <c r="D73" s="209"/>
      <c r="E73" s="209" t="s">
        <v>5</v>
      </c>
      <c r="F73" s="209"/>
      <c r="G73" s="209"/>
      <c r="H73" s="209"/>
      <c r="I73" s="110" t="s">
        <v>20</v>
      </c>
      <c r="J73" s="110">
        <v>1</v>
      </c>
      <c r="K73" s="210">
        <f>B33*10</f>
        <v>2250</v>
      </c>
      <c r="L73" s="210"/>
      <c r="M73" s="210"/>
      <c r="N73" s="210">
        <f>B29*10</f>
        <v>1980</v>
      </c>
      <c r="O73" s="210"/>
      <c r="P73" s="210">
        <f>K73-10</f>
        <v>2240</v>
      </c>
      <c r="Q73" s="210"/>
      <c r="R73" s="210">
        <f>N73-5</f>
        <v>1975</v>
      </c>
      <c r="S73" s="210"/>
      <c r="T73" s="210"/>
      <c r="U73" s="207" t="s">
        <v>40</v>
      </c>
      <c r="V73" s="207"/>
      <c r="W73" s="207"/>
      <c r="X73" s="207"/>
      <c r="Y73" s="208"/>
      <c r="Z73" s="208"/>
      <c r="AA73" s="208"/>
      <c r="AB73" s="208"/>
      <c r="AC73" s="80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</row>
    <row r="74" spans="1:44" ht="36.75" customHeight="1">
      <c r="A74" s="209" t="str">
        <f>IF($A$2&gt;1.25,"O","SO")</f>
        <v>SO</v>
      </c>
      <c r="B74" s="209"/>
      <c r="C74" s="209"/>
      <c r="D74" s="209"/>
      <c r="E74" s="209" t="s">
        <v>4</v>
      </c>
      <c r="F74" s="209"/>
      <c r="G74" s="209"/>
      <c r="H74" s="209"/>
      <c r="I74" s="110" t="s">
        <v>55</v>
      </c>
      <c r="J74" s="110">
        <v>1</v>
      </c>
      <c r="K74" s="210">
        <f>B19*10</f>
        <v>820</v>
      </c>
      <c r="L74" s="210"/>
      <c r="M74" s="210"/>
      <c r="N74" s="210">
        <f>B17*10</f>
        <v>710</v>
      </c>
      <c r="O74" s="210"/>
      <c r="P74" s="210">
        <f>IF($V$5="Pose en applique avec tapées d'isolation",K74,IF($V$5="Pose en applique sur precadre ALU",(K74-10),IF($V$5="Pose en applique sur précadre acier",(K74-10),(K74+64))))</f>
        <v>820</v>
      </c>
      <c r="Q74" s="210"/>
      <c r="R74" s="210">
        <f>IF($V$5="Pose en applique avec tapées d'isolation",N74,IF($V$5="Pose en applique sur precadre ALU",(N74-10),IF($V$5="Pose en applique sur précadre acier",(N74-10),(N74+64))))</f>
        <v>710</v>
      </c>
      <c r="S74" s="210"/>
      <c r="T74" s="210"/>
      <c r="U74" s="207" t="s">
        <v>84</v>
      </c>
      <c r="V74" s="207"/>
      <c r="W74" s="207"/>
      <c r="X74" s="207"/>
      <c r="Y74" s="208"/>
      <c r="Z74" s="208"/>
      <c r="AA74" s="208"/>
      <c r="AB74" s="208"/>
      <c r="AC74" s="80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</row>
    <row r="75" spans="25:29" ht="14.25">
      <c r="Y75" s="80"/>
      <c r="Z75" s="80"/>
      <c r="AA75" s="80"/>
      <c r="AB75" s="80"/>
      <c r="AC75" s="80"/>
    </row>
  </sheetData>
  <sheetProtection selectLockedCells="1"/>
  <mergeCells count="228">
    <mergeCell ref="A1:F1"/>
    <mergeCell ref="G1:AA1"/>
    <mergeCell ref="AB1:AC1"/>
    <mergeCell ref="B2:Q2"/>
    <mergeCell ref="R2:V2"/>
    <mergeCell ref="W2:Z2"/>
    <mergeCell ref="AB2:AC2"/>
    <mergeCell ref="X3:Z3"/>
    <mergeCell ref="A5:C5"/>
    <mergeCell ref="T5:T6"/>
    <mergeCell ref="V5:AC5"/>
    <mergeCell ref="AT5:AW5"/>
    <mergeCell ref="A7:B11"/>
    <mergeCell ref="C7:C9"/>
    <mergeCell ref="AM8:AQ8"/>
    <mergeCell ref="E10:G10"/>
    <mergeCell ref="J10:M10"/>
    <mergeCell ref="P10:S10"/>
    <mergeCell ref="T10:U10"/>
    <mergeCell ref="X10:Z10"/>
    <mergeCell ref="AM12:AQ12"/>
    <mergeCell ref="B13:B16"/>
    <mergeCell ref="H13:I14"/>
    <mergeCell ref="N13:O14"/>
    <mergeCell ref="AB14:AB15"/>
    <mergeCell ref="AB16:AB17"/>
    <mergeCell ref="B17:B18"/>
    <mergeCell ref="AM17:AQ17"/>
    <mergeCell ref="K18:K20"/>
    <mergeCell ref="AB18:AB19"/>
    <mergeCell ref="B19:B20"/>
    <mergeCell ref="V20:W21"/>
    <mergeCell ref="AB20:AB35"/>
    <mergeCell ref="B21:B28"/>
    <mergeCell ref="AH21:AK22"/>
    <mergeCell ref="AM21:AQ22"/>
    <mergeCell ref="AR21:AR22"/>
    <mergeCell ref="AM24:AQ24"/>
    <mergeCell ref="AM28:AQ28"/>
    <mergeCell ref="B29:B32"/>
    <mergeCell ref="E29:E37"/>
    <mergeCell ref="AM32:AQ32"/>
    <mergeCell ref="B33:B37"/>
    <mergeCell ref="O34:P35"/>
    <mergeCell ref="V34:W35"/>
    <mergeCell ref="AB36:AB39"/>
    <mergeCell ref="B38:B39"/>
    <mergeCell ref="H39:I39"/>
    <mergeCell ref="E42:G42"/>
    <mergeCell ref="J42:L42"/>
    <mergeCell ref="M42:N42"/>
    <mergeCell ref="Q42:U42"/>
    <mergeCell ref="X42:Z42"/>
    <mergeCell ref="A51:D52"/>
    <mergeCell ref="E51:H52"/>
    <mergeCell ref="I51:I52"/>
    <mergeCell ref="J51:J52"/>
    <mergeCell ref="K51:M51"/>
    <mergeCell ref="N51:O51"/>
    <mergeCell ref="P51:Q51"/>
    <mergeCell ref="S51:T51"/>
    <mergeCell ref="U51:X51"/>
    <mergeCell ref="Y51:AB52"/>
    <mergeCell ref="K52:M52"/>
    <mergeCell ref="N52:O52"/>
    <mergeCell ref="P52:Q52"/>
    <mergeCell ref="S52:T52"/>
    <mergeCell ref="U52:X52"/>
    <mergeCell ref="A53:D53"/>
    <mergeCell ref="E53:H53"/>
    <mergeCell ref="K53:M53"/>
    <mergeCell ref="N53:O53"/>
    <mergeCell ref="P53:Q53"/>
    <mergeCell ref="R53:T53"/>
    <mergeCell ref="U53:X53"/>
    <mergeCell ref="Y53:AB53"/>
    <mergeCell ref="A54:D54"/>
    <mergeCell ref="E54:H54"/>
    <mergeCell ref="K54:M54"/>
    <mergeCell ref="N54:O54"/>
    <mergeCell ref="P54:Q54"/>
    <mergeCell ref="R54:T54"/>
    <mergeCell ref="U54:X54"/>
    <mergeCell ref="Y54:AB54"/>
    <mergeCell ref="A55:D55"/>
    <mergeCell ref="E55:H55"/>
    <mergeCell ref="K55:M55"/>
    <mergeCell ref="N55:O55"/>
    <mergeCell ref="P55:Q55"/>
    <mergeCell ref="R55:T55"/>
    <mergeCell ref="U55:X55"/>
    <mergeCell ref="Y55:AB55"/>
    <mergeCell ref="A56:D56"/>
    <mergeCell ref="E56:H56"/>
    <mergeCell ref="K56:M56"/>
    <mergeCell ref="N56:O56"/>
    <mergeCell ref="P56:Q56"/>
    <mergeCell ref="R56:T56"/>
    <mergeCell ref="U56:X56"/>
    <mergeCell ref="Y56:AB56"/>
    <mergeCell ref="A57:D57"/>
    <mergeCell ref="E57:H57"/>
    <mergeCell ref="K57:M57"/>
    <mergeCell ref="N57:O57"/>
    <mergeCell ref="P57:Q57"/>
    <mergeCell ref="R57:T57"/>
    <mergeCell ref="U57:X57"/>
    <mergeCell ref="Y57:AB57"/>
    <mergeCell ref="A58:D58"/>
    <mergeCell ref="E58:H58"/>
    <mergeCell ref="K58:M58"/>
    <mergeCell ref="N58:O58"/>
    <mergeCell ref="P58:Q58"/>
    <mergeCell ref="R58:T58"/>
    <mergeCell ref="U58:X58"/>
    <mergeCell ref="Y58:AB58"/>
    <mergeCell ref="A59:D59"/>
    <mergeCell ref="E59:H59"/>
    <mergeCell ref="K59:M59"/>
    <mergeCell ref="N59:O59"/>
    <mergeCell ref="P59:Q59"/>
    <mergeCell ref="R59:T59"/>
    <mergeCell ref="U59:X59"/>
    <mergeCell ref="Y59:AB59"/>
    <mergeCell ref="A60:D60"/>
    <mergeCell ref="E60:H60"/>
    <mergeCell ref="K60:M60"/>
    <mergeCell ref="N60:O60"/>
    <mergeCell ref="P60:Q60"/>
    <mergeCell ref="R60:T60"/>
    <mergeCell ref="U60:X60"/>
    <mergeCell ref="Y60:AB60"/>
    <mergeCell ref="A61:D61"/>
    <mergeCell ref="E61:H61"/>
    <mergeCell ref="K61:M61"/>
    <mergeCell ref="N61:O61"/>
    <mergeCell ref="P61:Q61"/>
    <mergeCell ref="R61:T61"/>
    <mergeCell ref="U61:X61"/>
    <mergeCell ref="Y61:AB61"/>
    <mergeCell ref="A63:X63"/>
    <mergeCell ref="A64:D65"/>
    <mergeCell ref="E64:H65"/>
    <mergeCell ref="I64:I65"/>
    <mergeCell ref="J64:J65"/>
    <mergeCell ref="K64:M64"/>
    <mergeCell ref="N64:O64"/>
    <mergeCell ref="P64:Q64"/>
    <mergeCell ref="R64:T64"/>
    <mergeCell ref="U64:X64"/>
    <mergeCell ref="Y64:AB65"/>
    <mergeCell ref="K65:M65"/>
    <mergeCell ref="N65:O65"/>
    <mergeCell ref="P65:Q65"/>
    <mergeCell ref="R65:T65"/>
    <mergeCell ref="U65:X65"/>
    <mergeCell ref="A66:D66"/>
    <mergeCell ref="E66:H66"/>
    <mergeCell ref="K66:M66"/>
    <mergeCell ref="N66:O66"/>
    <mergeCell ref="P66:Q66"/>
    <mergeCell ref="R66:T66"/>
    <mergeCell ref="U66:X66"/>
    <mergeCell ref="Y66:AB66"/>
    <mergeCell ref="A67:D67"/>
    <mergeCell ref="E67:H67"/>
    <mergeCell ref="K67:M67"/>
    <mergeCell ref="N67:O67"/>
    <mergeCell ref="P67:Q67"/>
    <mergeCell ref="R67:T67"/>
    <mergeCell ref="U67:X67"/>
    <mergeCell ref="Y67:AB67"/>
    <mergeCell ref="A68:D68"/>
    <mergeCell ref="E68:H68"/>
    <mergeCell ref="K68:M68"/>
    <mergeCell ref="N68:O68"/>
    <mergeCell ref="P68:Q68"/>
    <mergeCell ref="R68:T68"/>
    <mergeCell ref="U68:X68"/>
    <mergeCell ref="Y68:AB68"/>
    <mergeCell ref="A69:D69"/>
    <mergeCell ref="E69:H69"/>
    <mergeCell ref="K69:M69"/>
    <mergeCell ref="N69:O69"/>
    <mergeCell ref="P69:Q69"/>
    <mergeCell ref="R69:T69"/>
    <mergeCell ref="U69:X69"/>
    <mergeCell ref="Y69:AB69"/>
    <mergeCell ref="A70:D70"/>
    <mergeCell ref="E70:H70"/>
    <mergeCell ref="K70:M70"/>
    <mergeCell ref="N70:O70"/>
    <mergeCell ref="P70:Q70"/>
    <mergeCell ref="R70:T70"/>
    <mergeCell ref="U70:X70"/>
    <mergeCell ref="Y70:AB70"/>
    <mergeCell ref="A71:D71"/>
    <mergeCell ref="E71:H71"/>
    <mergeCell ref="K71:M71"/>
    <mergeCell ref="N71:O71"/>
    <mergeCell ref="P71:Q71"/>
    <mergeCell ref="R71:T71"/>
    <mergeCell ref="U71:X71"/>
    <mergeCell ref="Y71:AB71"/>
    <mergeCell ref="A72:D72"/>
    <mergeCell ref="E72:H72"/>
    <mergeCell ref="K72:M72"/>
    <mergeCell ref="N72:O72"/>
    <mergeCell ref="P72:Q72"/>
    <mergeCell ref="R72:T72"/>
    <mergeCell ref="U72:X72"/>
    <mergeCell ref="Y72:AB72"/>
    <mergeCell ref="A73:D73"/>
    <mergeCell ref="E73:H73"/>
    <mergeCell ref="K73:M73"/>
    <mergeCell ref="N73:O73"/>
    <mergeCell ref="P73:Q73"/>
    <mergeCell ref="R73:T73"/>
    <mergeCell ref="U73:X73"/>
    <mergeCell ref="Y73:AB73"/>
    <mergeCell ref="U74:X74"/>
    <mergeCell ref="Y74:AB74"/>
    <mergeCell ref="A74:D74"/>
    <mergeCell ref="E74:H74"/>
    <mergeCell ref="K74:M74"/>
    <mergeCell ref="N74:O74"/>
    <mergeCell ref="P74:Q74"/>
    <mergeCell ref="R74:T74"/>
  </mergeCells>
  <dataValidations count="13">
    <dataValidation type="list" allowBlank="1" showInputMessage="1" showErrorMessage="1" sqref="U54:X61">
      <formula1>$AT$10:$AT$32</formula1>
    </dataValidation>
    <dataValidation type="list" allowBlank="1" showInputMessage="1" showErrorMessage="1" sqref="A53:D61">
      <formula1>$AW$15:$AW$23</formula1>
    </dataValidation>
    <dataValidation type="list" allowBlank="1" showInputMessage="1" showErrorMessage="1" sqref="E53:H61">
      <formula1>$AV$10:$AV$20</formula1>
    </dataValidation>
    <dataValidation type="list" allowBlank="1" showInputMessage="1" showErrorMessage="1" sqref="I53:I61">
      <formula1>$AV$29:$AV$31</formula1>
    </dataValidation>
    <dataValidation type="list" allowBlank="1" showInputMessage="1" showErrorMessage="1" sqref="J53:J61">
      <formula1>$AW$27:$AW$32</formula1>
    </dataValidation>
    <dataValidation type="list" allowBlank="1" showInputMessage="1" showErrorMessage="1" sqref="AQ57">
      <formula1>$AT$8:$AW$8</formula1>
    </dataValidation>
    <dataValidation type="list" allowBlank="1" showInputMessage="1" showErrorMessage="1" sqref="AQ55">
      <formula1>$AT$7:$AW$7</formula1>
    </dataValidation>
    <dataValidation type="list" allowBlank="1" showInputMessage="1" showErrorMessage="1" sqref="AM8 AM32 AM28 AM24 AM17 AM12 AQ53">
      <formula1>$AT$6:$AW$6</formula1>
    </dataValidation>
    <dataValidation type="list" allowBlank="1" showInputMessage="1" showErrorMessage="1" sqref="G1:AA1">
      <formula1>$B$4:$J$4</formula1>
    </dataValidation>
    <dataValidation type="list" allowBlank="1" showInputMessage="1" showErrorMessage="1" sqref="U70:X70">
      <formula1>$AC$41:$AC$62</formula1>
    </dataValidation>
    <dataValidation type="list" allowBlank="1" showInputMessage="1" showErrorMessage="1" sqref="B2">
      <formula1>$C$3:$E$3</formula1>
    </dataValidation>
    <dataValidation type="list" allowBlank="1" showInputMessage="1" showErrorMessage="1" sqref="V5">
      <formula1>$Z$4:$AC$4</formula1>
    </dataValidation>
    <dataValidation type="list" allowBlank="1" showInputMessage="1" showErrorMessage="1" sqref="U67:X69 U71:X74">
      <formula1>$AE$62:$AE$74</formula1>
    </dataValidation>
  </dataValidations>
  <printOptions/>
  <pageMargins left="0.1968503937007874" right="0.2362204724409449" top="0.2755905511811024" bottom="0.2755905511811024" header="0.31496062992125984" footer="0.31496062992125984"/>
  <pageSetup fitToHeight="1" fitToWidth="1" horizontalDpi="300" verticalDpi="300" orientation="landscape" paperSize="8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OBAVMS08</dc:creator>
  <cp:keywords/>
  <dc:description/>
  <cp:lastModifiedBy>OBAVMS08</cp:lastModifiedBy>
  <cp:lastPrinted>2020-04-15T06:49:23Z</cp:lastPrinted>
  <dcterms:created xsi:type="dcterms:W3CDTF">2012-10-19T05:33:19Z</dcterms:created>
  <dcterms:modified xsi:type="dcterms:W3CDTF">2023-12-28T08:25:38Z</dcterms:modified>
  <cp:category/>
  <cp:version/>
  <cp:contentType/>
  <cp:contentStatus/>
</cp:coreProperties>
</file>